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22.xml" ContentType="application/vnd.openxmlformats-officedocument.drawing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J:\Drives compartilhados\PROINFRA - Contratos\NOVO CONTRATO LIMPEZA\Licitação\23081.1203632022-27\PCFP\"/>
    </mc:Choice>
  </mc:AlternateContent>
  <xr:revisionPtr revIDLastSave="0" documentId="13_ncr:1_{AEA0A2E9-7C56-4FE7-BC8F-40B0DABB13ED}" xr6:coauthVersionLast="36" xr6:coauthVersionMax="36" xr10:uidLastSave="{00000000-0000-0000-0000-000000000000}"/>
  <bookViews>
    <workbookView xWindow="0" yWindow="0" windowWidth="21525" windowHeight="10125" activeTab="2" xr2:uid="{354F8383-6F2F-4E17-9398-D3E7B235758F}"/>
  </bookViews>
  <sheets>
    <sheet name="RESUMO" sheetId="29" r:id="rId1"/>
    <sheet name="TABELA ETP" sheetId="59" r:id="rId2"/>
    <sheet name="POSTOS POR UNIDADE" sheetId="28" r:id="rId3"/>
    <sheet name="AREAS POR UNIDADE" sheetId="80" r:id="rId4"/>
    <sheet name="PRODUTIVIDADES" sheetId="103" r:id="rId5"/>
    <sheet name="ROTINAS" sheetId="94" r:id="rId6"/>
    <sheet name="DADOS CCT" sheetId="2" r:id="rId7"/>
    <sheet name="PoC" sheetId="97" r:id="rId8"/>
    <sheet name="5143-20 SRV.L 5x2 DIURNO SM" sheetId="45" r:id="rId9"/>
    <sheet name="5143-15 ESQ.E 5x2 DIURNO SM" sheetId="107" r:id="rId10"/>
    <sheet name="5143-20 AUX.LB 5x2 DIURNO SM" sheetId="82" r:id="rId11"/>
    <sheet name="5143-20 AUX.LH 5x2 DIURNO SM" sheetId="100" r:id="rId12"/>
    <sheet name="5143-30 LMP.P 5x2 DIURNO SM" sheetId="104" r:id="rId13"/>
    <sheet name="5142-05 COL.LX 5x2 DIURNO SM" sheetId="105" r:id="rId14"/>
    <sheet name="5142-30 COL.RS 5x2 DIURNO SM" sheetId="106" r:id="rId15"/>
    <sheet name="5143-20 ENC 5x2 DIURNO SM" sheetId="96" r:id="rId16"/>
    <sheet name="5143-20 SRV.L 5x2 DIURNO CS" sheetId="83" r:id="rId17"/>
    <sheet name="5143-20 AUX.LB 5x2 DIURNO CS" sheetId="85" r:id="rId18"/>
    <sheet name="5143-20 SRV.L 5x2 DIURNO FW" sheetId="86" r:id="rId19"/>
    <sheet name="5143-20 AUX.LB 5x2 DIURNO FW" sheetId="89" r:id="rId20"/>
    <sheet name="5143-20 SVR.L 5x2 DIURNO PM" sheetId="90" r:id="rId21"/>
    <sheet name="5143-20 AUX.LB 5x2 DIURNO PM" sheetId="91" r:id="rId22"/>
    <sheet name="5143-20 AUX.LB 5x2 DIURNO SVM" sheetId="92" r:id="rId23"/>
    <sheet name="5143-20 AUX.LB 5x2 DIURNO SJP" sheetId="101" r:id="rId24"/>
    <sheet name="UNIFORMES EPI" sheetId="109" r:id="rId25"/>
    <sheet name="INSUMOS" sheetId="57" r:id="rId26"/>
    <sheet name="ESCALAS" sheetId="21" r:id="rId27"/>
    <sheet name="LISTAS" sheetId="22" r:id="rId28"/>
    <sheet name="SANÇÕES" sheetId="79" r:id="rId29"/>
  </sheets>
  <definedNames>
    <definedName name="_xlnm.Print_Area" localSheetId="13">'5142-05 COL.LX 5x2 DIURNO SM'!$A$1:$D$165</definedName>
    <definedName name="_xlnm.Print_Area" localSheetId="14">'5142-30 COL.RS 5x2 DIURNO SM'!$A$1:$D$165</definedName>
    <definedName name="_xlnm.Print_Area" localSheetId="9">'5143-15 ESQ.E 5x2 DIURNO SM'!$A$1:$D$165</definedName>
    <definedName name="_xlnm.Print_Area" localSheetId="17">'5143-20 AUX.LB 5x2 DIURNO CS'!$A$1:$D$165</definedName>
    <definedName name="_xlnm.Print_Area" localSheetId="19">'5143-20 AUX.LB 5x2 DIURNO FW'!$A$1:$D$165</definedName>
    <definedName name="_xlnm.Print_Area" localSheetId="21">'5143-20 AUX.LB 5x2 DIURNO PM'!$A$1:$D$165</definedName>
    <definedName name="_xlnm.Print_Area" localSheetId="23">'5143-20 AUX.LB 5x2 DIURNO SJP'!$A$1:$D$165</definedName>
    <definedName name="_xlnm.Print_Area" localSheetId="10">'5143-20 AUX.LB 5x2 DIURNO SM'!$A$1:$D$165</definedName>
    <definedName name="_xlnm.Print_Area" localSheetId="22">'5143-20 AUX.LB 5x2 DIURNO SVM'!$A$1:$D$165</definedName>
    <definedName name="_xlnm.Print_Area" localSheetId="11">'5143-20 AUX.LH 5x2 DIURNO SM'!$A$1:$D$165</definedName>
    <definedName name="_xlnm.Print_Area" localSheetId="15">'5143-20 ENC 5x2 DIURNO SM'!$A$1:$D$165</definedName>
    <definedName name="_xlnm.Print_Area" localSheetId="16">'5143-20 SRV.L 5x2 DIURNO CS'!$A$1:$D$165</definedName>
    <definedName name="_xlnm.Print_Area" localSheetId="18">'5143-20 SRV.L 5x2 DIURNO FW'!$A$1:$D$165</definedName>
    <definedName name="_xlnm.Print_Area" localSheetId="8">'5143-20 SRV.L 5x2 DIURNO SM'!$A$1:$D$165</definedName>
    <definedName name="_xlnm.Print_Area" localSheetId="20">'5143-20 SVR.L 5x2 DIURNO PM'!$A$1:$D$165</definedName>
    <definedName name="_xlnm.Print_Area" localSheetId="12">'5143-30 LMP.P 5x2 DIURNO SM'!$A$1:$D$165</definedName>
    <definedName name="_xlnm.Print_Area" localSheetId="3">'AREAS POR UNIDADE'!$A$1:$G$1586</definedName>
    <definedName name="_xlnm.Print_Area" localSheetId="6">'DADOS CCT'!$A$1:$E$113</definedName>
    <definedName name="_xlnm.Print_Area" localSheetId="26">ESCALAS!$A$1:$H$7</definedName>
    <definedName name="_xlnm.Print_Area" localSheetId="25">INSUMOS!$A$1:$H$87</definedName>
    <definedName name="_xlnm.Print_Area" localSheetId="7">PoC!$B$1:$K$32</definedName>
    <definedName name="_xlnm.Print_Area" localSheetId="2">'POSTOS POR UNIDADE'!$A$1:$J$37</definedName>
    <definedName name="_xlnm.Print_Area" localSheetId="4">PRODUTIVIDADES!$A$1:$M$155</definedName>
    <definedName name="_xlnm.Print_Area" localSheetId="0">RESUMO!$A$1:$F$189</definedName>
    <definedName name="_xlnm.Print_Area" localSheetId="28">SANÇÕES!$B$2:$I$67</definedName>
    <definedName name="_xlnm.Print_Area" localSheetId="24">'UNIFORMES EPI'!$A$1:$H$46</definedName>
    <definedName name="COD_POSTOS">LISTAS!$N$2:$T$7</definedName>
    <definedName name="custo_mensal_uniforme" localSheetId="25">INSUMOS!#REF!</definedName>
    <definedName name="custo_mensal_uniforme" localSheetId="24">'UNIFORMES EPI'!#REF!</definedName>
    <definedName name="custo_mensal_uniforme">#REF!</definedName>
    <definedName name="tb_Produtividades">PRODUTIVIDADES!$A$3:$M$131</definedName>
    <definedName name="TIPOS_AREAS">LISTAS!$B$2:$B$15</definedName>
    <definedName name="_xlnm.Print_Titles" localSheetId="13">'5142-05 COL.LX 5x2 DIURNO SM'!$1:$1</definedName>
    <definedName name="_xlnm.Print_Titles" localSheetId="14">'5142-30 COL.RS 5x2 DIURNO SM'!$1:$1</definedName>
    <definedName name="_xlnm.Print_Titles" localSheetId="9">'5143-15 ESQ.E 5x2 DIURNO SM'!$1:$1</definedName>
    <definedName name="_xlnm.Print_Titles" localSheetId="17">'5143-20 AUX.LB 5x2 DIURNO CS'!$1:$1</definedName>
    <definedName name="_xlnm.Print_Titles" localSheetId="19">'5143-20 AUX.LB 5x2 DIURNO FW'!$1:$1</definedName>
    <definedName name="_xlnm.Print_Titles" localSheetId="21">'5143-20 AUX.LB 5x2 DIURNO PM'!$1:$1</definedName>
    <definedName name="_xlnm.Print_Titles" localSheetId="23">'5143-20 AUX.LB 5x2 DIURNO SJP'!$1:$1</definedName>
    <definedName name="_xlnm.Print_Titles" localSheetId="10">'5143-20 AUX.LB 5x2 DIURNO SM'!$1:$1</definedName>
    <definedName name="_xlnm.Print_Titles" localSheetId="22">'5143-20 AUX.LB 5x2 DIURNO SVM'!$1:$1</definedName>
    <definedName name="_xlnm.Print_Titles" localSheetId="11">'5143-20 AUX.LH 5x2 DIURNO SM'!$1:$1</definedName>
    <definedName name="_xlnm.Print_Titles" localSheetId="15">'5143-20 ENC 5x2 DIURNO SM'!$1:$1</definedName>
    <definedName name="_xlnm.Print_Titles" localSheetId="16">'5143-20 SRV.L 5x2 DIURNO CS'!$1:$1</definedName>
    <definedName name="_xlnm.Print_Titles" localSheetId="18">'5143-20 SRV.L 5x2 DIURNO FW'!$1:$1</definedName>
    <definedName name="_xlnm.Print_Titles" localSheetId="8">'5143-20 SRV.L 5x2 DIURNO SM'!$1:$1</definedName>
    <definedName name="_xlnm.Print_Titles" localSheetId="20">'5143-20 SVR.L 5x2 DIURNO PM'!$1:$1</definedName>
    <definedName name="_xlnm.Print_Titles" localSheetId="12">'5143-30 LMP.P 5x2 DIURNO SM'!$1:$1</definedName>
    <definedName name="_xlnm.Print_Titles" localSheetId="3">'AREAS POR UNIDADE'!$1:$3</definedName>
    <definedName name="_xlnm.Print_Titles" localSheetId="6">'DADOS CCT'!$1:$3</definedName>
    <definedName name="_xlnm.Print_Titles" localSheetId="25">INSUMOS!$1:$1</definedName>
    <definedName name="_xlnm.Print_Titles" localSheetId="4">PRODUTIVIDADES!$1:$1</definedName>
    <definedName name="_xlnm.Print_Titles" localSheetId="28">SANÇÕES!$4:$4</definedName>
    <definedName name="_xlnm.Print_Titles" localSheetId="24">'UNIFORMES EPI'!$1:$1</definedName>
    <definedName name="UNIDADES">LISTAS!$D$2:$D$157</definedName>
    <definedName name="vlCONTRATO">RESUMO!$E$189</definedName>
    <definedName name="vlINSUMOS" localSheetId="24">'UNIFORMES EPI'!#REF!</definedName>
    <definedName name="vlINSUMOS">INSUMOS!$D$87</definedName>
    <definedName name="vlMENSAL">RESUMO!$E$187</definedName>
  </definedName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6" i="103" l="1"/>
  <c r="J124" i="103"/>
  <c r="J123" i="103"/>
  <c r="J122" i="103"/>
  <c r="J121" i="103"/>
  <c r="J120" i="103"/>
  <c r="J119" i="103"/>
  <c r="J118" i="103"/>
  <c r="J117" i="103"/>
  <c r="J116" i="103"/>
  <c r="J115" i="103"/>
  <c r="D30" i="100"/>
  <c r="F148" i="103"/>
  <c r="J130" i="103"/>
  <c r="J78" i="103"/>
  <c r="J70" i="103"/>
  <c r="J55" i="103"/>
  <c r="J41" i="103"/>
  <c r="J31" i="103"/>
  <c r="J17" i="103"/>
  <c r="J8" i="103"/>
  <c r="F143" i="103"/>
  <c r="J51" i="103"/>
  <c r="J27" i="103"/>
  <c r="J83" i="103"/>
  <c r="J11" i="103"/>
  <c r="F147" i="103"/>
  <c r="J129" i="103"/>
  <c r="J77" i="103"/>
  <c r="J64" i="103"/>
  <c r="J54" i="103"/>
  <c r="J40" i="103"/>
  <c r="J30" i="103"/>
  <c r="J15" i="103"/>
  <c r="J7" i="103"/>
  <c r="J6" i="103"/>
  <c r="J74" i="103"/>
  <c r="F137" i="103"/>
  <c r="J21" i="103"/>
  <c r="J9" i="103"/>
  <c r="F145" i="103"/>
  <c r="J128" i="103"/>
  <c r="J76" i="103"/>
  <c r="J63" i="103"/>
  <c r="J53" i="103"/>
  <c r="J38" i="103"/>
  <c r="J29" i="103"/>
  <c r="J14" i="103"/>
  <c r="J84" i="103"/>
  <c r="J35" i="103"/>
  <c r="J73" i="103"/>
  <c r="J34" i="103"/>
  <c r="J42" i="103"/>
  <c r="F144" i="103"/>
  <c r="J85" i="103"/>
  <c r="J75" i="103"/>
  <c r="J62" i="103"/>
  <c r="J52" i="103"/>
  <c r="J36" i="103"/>
  <c r="J28" i="103"/>
  <c r="J13" i="103"/>
  <c r="F154" i="103"/>
  <c r="J60" i="103"/>
  <c r="J12" i="103"/>
  <c r="J58" i="103"/>
  <c r="J50" i="103"/>
  <c r="J32" i="103"/>
  <c r="F153" i="103"/>
  <c r="F151" i="103"/>
  <c r="F136" i="103"/>
  <c r="J81" i="103"/>
  <c r="J72" i="103"/>
  <c r="J57" i="103"/>
  <c r="J49" i="103"/>
  <c r="J33" i="103"/>
  <c r="J20" i="103"/>
  <c r="J10" i="103"/>
  <c r="F150" i="103"/>
  <c r="F135" i="103"/>
  <c r="J79" i="103"/>
  <c r="J71" i="103"/>
  <c r="J56" i="103"/>
  <c r="J19" i="103"/>
  <c r="D30" i="107" l="1"/>
  <c r="D30" i="82"/>
  <c r="D30" i="104"/>
  <c r="D30" i="105"/>
  <c r="D30" i="106"/>
  <c r="D30" i="96"/>
  <c r="D30" i="83"/>
  <c r="D30" i="85"/>
  <c r="D30" i="86"/>
  <c r="D30" i="89"/>
  <c r="D30" i="90"/>
  <c r="D30" i="91"/>
  <c r="D30" i="92"/>
  <c r="D30" i="101"/>
  <c r="D30" i="45"/>
  <c r="E130" i="103" l="1"/>
  <c r="E129" i="103"/>
  <c r="E128" i="103"/>
  <c r="E126" i="103"/>
  <c r="E124" i="103"/>
  <c r="E123" i="103"/>
  <c r="E122" i="103"/>
  <c r="E121" i="103"/>
  <c r="E120" i="103"/>
  <c r="E119" i="103"/>
  <c r="E118" i="103"/>
  <c r="E117" i="103"/>
  <c r="E116" i="103"/>
  <c r="E115" i="103"/>
  <c r="E102" i="103"/>
  <c r="E101" i="103"/>
  <c r="E100" i="103"/>
  <c r="E99" i="103"/>
  <c r="E98" i="103"/>
  <c r="E97" i="103"/>
  <c r="E96" i="103"/>
  <c r="E95" i="103"/>
  <c r="E94" i="103"/>
  <c r="E93" i="103"/>
  <c r="E85" i="103"/>
  <c r="E84" i="103"/>
  <c r="E83" i="103"/>
  <c r="E81" i="103"/>
  <c r="E79" i="103"/>
  <c r="E78" i="103"/>
  <c r="E77" i="103"/>
  <c r="E76" i="103"/>
  <c r="E75" i="103"/>
  <c r="E74" i="103"/>
  <c r="E73" i="103"/>
  <c r="E72" i="103"/>
  <c r="E71" i="103"/>
  <c r="E70" i="103"/>
  <c r="E64" i="103"/>
  <c r="E63" i="103"/>
  <c r="E62" i="103"/>
  <c r="E60" i="103"/>
  <c r="E58" i="103"/>
  <c r="E57" i="103"/>
  <c r="E56" i="103"/>
  <c r="E55" i="103"/>
  <c r="E54" i="103"/>
  <c r="E53" i="103"/>
  <c r="E52" i="103"/>
  <c r="E51" i="103"/>
  <c r="E50" i="103"/>
  <c r="E49" i="103"/>
  <c r="E42" i="103"/>
  <c r="E41" i="103"/>
  <c r="E40" i="103"/>
  <c r="E38" i="103"/>
  <c r="E36" i="103"/>
  <c r="E35" i="103"/>
  <c r="E34" i="103"/>
  <c r="E33" i="103"/>
  <c r="E32" i="103"/>
  <c r="E31" i="103"/>
  <c r="E30" i="103"/>
  <c r="E29" i="103"/>
  <c r="E28" i="103"/>
  <c r="E27" i="103"/>
  <c r="E21" i="103"/>
  <c r="E20" i="103"/>
  <c r="E19" i="103"/>
  <c r="E17" i="103"/>
  <c r="E15" i="103"/>
  <c r="E14" i="103"/>
  <c r="E13" i="103"/>
  <c r="E12" i="103"/>
  <c r="E11" i="103"/>
  <c r="E10" i="103"/>
  <c r="E9" i="103"/>
  <c r="E8" i="103"/>
  <c r="E7" i="103"/>
  <c r="E6" i="103"/>
  <c r="E9" i="57" l="1"/>
  <c r="F45" i="109"/>
  <c r="F30" i="109"/>
  <c r="F14" i="109"/>
  <c r="G66" i="79"/>
  <c r="H66" i="79" s="1"/>
  <c r="G30" i="79"/>
  <c r="H30" i="79" s="1"/>
  <c r="G21" i="79"/>
  <c r="H21" i="79" s="1"/>
  <c r="G12" i="79"/>
  <c r="H12" i="79" s="1"/>
  <c r="D9" i="79"/>
  <c r="B70" i="59"/>
  <c r="B69" i="59"/>
  <c r="B68" i="59"/>
  <c r="B67" i="59"/>
  <c r="B65" i="59"/>
  <c r="B66" i="59"/>
  <c r="B64" i="59"/>
  <c r="B63" i="59"/>
  <c r="B54" i="59"/>
  <c r="B55" i="59"/>
  <c r="B56" i="59"/>
  <c r="B57" i="59"/>
  <c r="B58" i="59"/>
  <c r="B59" i="59"/>
  <c r="B60" i="59"/>
  <c r="B61" i="59"/>
  <c r="B62" i="59"/>
  <c r="B53" i="59"/>
  <c r="B52" i="59"/>
  <c r="B51" i="59"/>
  <c r="B50" i="59"/>
  <c r="B49" i="59"/>
  <c r="B40" i="59"/>
  <c r="B41" i="59"/>
  <c r="B42" i="59"/>
  <c r="B43" i="59"/>
  <c r="B44" i="59"/>
  <c r="B45" i="59"/>
  <c r="B46" i="59"/>
  <c r="B47" i="59"/>
  <c r="B48" i="59"/>
  <c r="B39" i="59"/>
  <c r="B38" i="59"/>
  <c r="B36" i="59"/>
  <c r="B37" i="59"/>
  <c r="B35" i="59"/>
  <c r="B34" i="59"/>
  <c r="B25" i="59"/>
  <c r="B26" i="59"/>
  <c r="B27" i="59"/>
  <c r="B28" i="59"/>
  <c r="B29" i="59"/>
  <c r="B30" i="59"/>
  <c r="B31" i="59"/>
  <c r="B32" i="59"/>
  <c r="B33" i="59"/>
  <c r="B24" i="59"/>
  <c r="B18" i="59"/>
  <c r="B19" i="59"/>
  <c r="B20" i="59"/>
  <c r="B21" i="59"/>
  <c r="B22" i="59"/>
  <c r="B17" i="59"/>
  <c r="B15" i="59"/>
  <c r="B16" i="59"/>
  <c r="B14" i="59"/>
  <c r="B13" i="59"/>
  <c r="B12" i="59"/>
  <c r="B4" i="59"/>
  <c r="B5" i="59"/>
  <c r="B6" i="59"/>
  <c r="B7" i="59"/>
  <c r="B8" i="59"/>
  <c r="B9" i="59"/>
  <c r="B10" i="59"/>
  <c r="B11" i="59"/>
  <c r="B3" i="59"/>
  <c r="E62" i="57"/>
  <c r="H62" i="57" s="1"/>
  <c r="G62" i="57" s="1"/>
  <c r="E54" i="57"/>
  <c r="H54" i="57" s="1"/>
  <c r="G54" i="57" s="1"/>
  <c r="E53" i="57"/>
  <c r="H53" i="57" s="1"/>
  <c r="G53" i="57" s="1"/>
  <c r="E52" i="57"/>
  <c r="H52" i="57" s="1"/>
  <c r="G52" i="57" s="1"/>
  <c r="E51" i="57"/>
  <c r="H51" i="57" s="1"/>
  <c r="G51" i="57" s="1"/>
  <c r="E50" i="57"/>
  <c r="H50" i="57" s="1"/>
  <c r="G50" i="57" s="1"/>
  <c r="D22" i="57"/>
  <c r="F22" i="57"/>
  <c r="G22" i="57" s="1"/>
  <c r="I30" i="79" l="1"/>
  <c r="I21" i="79"/>
  <c r="I12" i="79"/>
  <c r="E38" i="109"/>
  <c r="H38" i="109" s="1"/>
  <c r="G38" i="109" s="1"/>
  <c r="E45" i="109"/>
  <c r="H45" i="109" s="1"/>
  <c r="G45" i="109" s="1"/>
  <c r="E44" i="109"/>
  <c r="H44" i="109" s="1"/>
  <c r="G44" i="109" s="1"/>
  <c r="E43" i="109"/>
  <c r="H43" i="109" s="1"/>
  <c r="G43" i="109" s="1"/>
  <c r="E42" i="109"/>
  <c r="H42" i="109" s="1"/>
  <c r="G42" i="109" s="1"/>
  <c r="E41" i="109"/>
  <c r="H41" i="109" s="1"/>
  <c r="G41" i="109" s="1"/>
  <c r="E40" i="109"/>
  <c r="H40" i="109" s="1"/>
  <c r="G40" i="109" s="1"/>
  <c r="E39" i="109"/>
  <c r="H39" i="109" s="1"/>
  <c r="G39" i="109" s="1"/>
  <c r="E37" i="109"/>
  <c r="H37" i="109" s="1"/>
  <c r="G37" i="109" s="1"/>
  <c r="E36" i="109"/>
  <c r="H36" i="109" s="1"/>
  <c r="G36" i="109" s="1"/>
  <c r="E35" i="109"/>
  <c r="H35" i="109" s="1"/>
  <c r="E23" i="109"/>
  <c r="H23" i="109" s="1"/>
  <c r="G23" i="109" s="1"/>
  <c r="E22" i="109"/>
  <c r="H22" i="109" s="1"/>
  <c r="G22" i="109" s="1"/>
  <c r="E30" i="109"/>
  <c r="H30" i="109" s="1"/>
  <c r="G30" i="109" s="1"/>
  <c r="E29" i="109"/>
  <c r="H29" i="109" s="1"/>
  <c r="G29" i="109" s="1"/>
  <c r="E28" i="109"/>
  <c r="H28" i="109" s="1"/>
  <c r="G28" i="109" s="1"/>
  <c r="E27" i="109"/>
  <c r="E26" i="109"/>
  <c r="H26" i="109" s="1"/>
  <c r="G26" i="109" s="1"/>
  <c r="E25" i="109"/>
  <c r="H25" i="109" s="1"/>
  <c r="G25" i="109" s="1"/>
  <c r="E24" i="109"/>
  <c r="H24" i="109" s="1"/>
  <c r="G24" i="109" s="1"/>
  <c r="E21" i="109"/>
  <c r="H21" i="109" s="1"/>
  <c r="G21" i="109" s="1"/>
  <c r="E20" i="109"/>
  <c r="H20" i="109" s="1"/>
  <c r="G20" i="109" s="1"/>
  <c r="E19" i="109"/>
  <c r="H19" i="109" s="1"/>
  <c r="E14" i="109"/>
  <c r="H14" i="109" s="1"/>
  <c r="G14" i="109" s="1"/>
  <c r="E13" i="109"/>
  <c r="H13" i="109" s="1"/>
  <c r="G13" i="109" s="1"/>
  <c r="E12" i="109"/>
  <c r="H12" i="109" s="1"/>
  <c r="G12" i="109" s="1"/>
  <c r="E11" i="109"/>
  <c r="E10" i="109"/>
  <c r="H10" i="109" s="1"/>
  <c r="G10" i="109" s="1"/>
  <c r="E9" i="109"/>
  <c r="H9" i="109" s="1"/>
  <c r="G9" i="109" s="1"/>
  <c r="E8" i="109"/>
  <c r="H8" i="109" s="1"/>
  <c r="G8" i="109" s="1"/>
  <c r="E7" i="109"/>
  <c r="H7" i="109" s="1"/>
  <c r="G7" i="109" s="1"/>
  <c r="E6" i="109"/>
  <c r="H6" i="109" s="1"/>
  <c r="G6" i="109" s="1"/>
  <c r="E5" i="109"/>
  <c r="H5" i="109" s="1"/>
  <c r="G5" i="109" s="1"/>
  <c r="C84" i="57"/>
  <c r="C82" i="57"/>
  <c r="C81" i="57"/>
  <c r="C83" i="29"/>
  <c r="D83" i="29" s="1" a="1"/>
  <c r="D83" i="29" s="1"/>
  <c r="C85" i="57" l="1"/>
  <c r="H46" i="109"/>
  <c r="G35" i="109"/>
  <c r="G46" i="109" s="1"/>
  <c r="D127" i="96" s="1"/>
  <c r="H27" i="109"/>
  <c r="G27" i="109" s="1"/>
  <c r="G19" i="109"/>
  <c r="H11" i="109"/>
  <c r="G11" i="109" s="1"/>
  <c r="G15" i="109" s="1"/>
  <c r="E83" i="29"/>
  <c r="D127" i="85" l="1"/>
  <c r="D127" i="83"/>
  <c r="D127" i="101"/>
  <c r="D127" i="92"/>
  <c r="D127" i="91"/>
  <c r="D127" i="90"/>
  <c r="D127" i="89"/>
  <c r="D127" i="86"/>
  <c r="H31" i="109"/>
  <c r="D127" i="100"/>
  <c r="D127" i="82"/>
  <c r="D127" i="45"/>
  <c r="D127" i="107"/>
  <c r="D127" i="104"/>
  <c r="G31" i="109"/>
  <c r="H15" i="109"/>
  <c r="F83" i="29"/>
  <c r="D127" i="106" l="1"/>
  <c r="D127" i="105"/>
  <c r="E60" i="57" l="1"/>
  <c r="H60" i="57" s="1"/>
  <c r="G60" i="57" s="1"/>
  <c r="E61" i="57"/>
  <c r="H61" i="57" s="1"/>
  <c r="G61" i="57" s="1"/>
  <c r="E63" i="57"/>
  <c r="H63" i="57" s="1"/>
  <c r="G63" i="57" s="1"/>
  <c r="E64" i="57"/>
  <c r="H64" i="57" s="1"/>
  <c r="G64" i="57" s="1"/>
  <c r="E65" i="57"/>
  <c r="H65" i="57" s="1"/>
  <c r="G65" i="57" s="1"/>
  <c r="E66" i="57"/>
  <c r="H66" i="57" s="1"/>
  <c r="G66" i="57" s="1"/>
  <c r="E67" i="57"/>
  <c r="H67" i="57" s="1"/>
  <c r="G67" i="57" s="1"/>
  <c r="E68" i="57"/>
  <c r="H68" i="57" s="1"/>
  <c r="G68" i="57" s="1"/>
  <c r="E69" i="57"/>
  <c r="H69" i="57" s="1"/>
  <c r="G69" i="57" s="1"/>
  <c r="E70" i="57"/>
  <c r="H70" i="57" s="1"/>
  <c r="G70" i="57" s="1"/>
  <c r="E71" i="57"/>
  <c r="H71" i="57" s="1"/>
  <c r="G71" i="57" s="1"/>
  <c r="E72" i="57"/>
  <c r="H72" i="57" s="1"/>
  <c r="G72" i="57" s="1"/>
  <c r="E73" i="57"/>
  <c r="H73" i="57" s="1"/>
  <c r="G73" i="57" s="1"/>
  <c r="E59" i="57"/>
  <c r="H59" i="57" s="1"/>
  <c r="G59" i="57" s="1"/>
  <c r="E27" i="57"/>
  <c r="H27" i="57" s="1"/>
  <c r="G27" i="57" s="1"/>
  <c r="E28" i="57"/>
  <c r="H28" i="57" s="1"/>
  <c r="G28" i="57" s="1"/>
  <c r="E29" i="57"/>
  <c r="H29" i="57" s="1"/>
  <c r="G29" i="57" s="1"/>
  <c r="E30" i="57"/>
  <c r="H30" i="57" s="1"/>
  <c r="G30" i="57" s="1"/>
  <c r="E31" i="57"/>
  <c r="H31" i="57" s="1"/>
  <c r="G31" i="57" s="1"/>
  <c r="E32" i="57"/>
  <c r="H32" i="57" s="1"/>
  <c r="G32" i="57" s="1"/>
  <c r="E33" i="57"/>
  <c r="E34" i="57"/>
  <c r="H34" i="57" s="1"/>
  <c r="G34" i="57" s="1"/>
  <c r="E35" i="57"/>
  <c r="H35" i="57" s="1"/>
  <c r="G35" i="57" s="1"/>
  <c r="E36" i="57"/>
  <c r="H36" i="57" s="1"/>
  <c r="G36" i="57" s="1"/>
  <c r="E37" i="57"/>
  <c r="H37" i="57" s="1"/>
  <c r="G37" i="57" s="1"/>
  <c r="E38" i="57"/>
  <c r="H38" i="57" s="1"/>
  <c r="G38" i="57" s="1"/>
  <c r="E39" i="57"/>
  <c r="H39" i="57" s="1"/>
  <c r="G39" i="57" s="1"/>
  <c r="E40" i="57"/>
  <c r="H40" i="57" s="1"/>
  <c r="G40" i="57" s="1"/>
  <c r="E41" i="57"/>
  <c r="H41" i="57" s="1"/>
  <c r="G41" i="57" s="1"/>
  <c r="E42" i="57"/>
  <c r="H42" i="57" s="1"/>
  <c r="G42" i="57" s="1"/>
  <c r="E43" i="57"/>
  <c r="H43" i="57" s="1"/>
  <c r="G43" i="57" s="1"/>
  <c r="E44" i="57"/>
  <c r="H44" i="57" s="1"/>
  <c r="G44" i="57" s="1"/>
  <c r="E45" i="57"/>
  <c r="H45" i="57" s="1"/>
  <c r="G45" i="57" s="1"/>
  <c r="E46" i="57"/>
  <c r="H46" i="57" s="1"/>
  <c r="G46" i="57" s="1"/>
  <c r="E47" i="57"/>
  <c r="H47" i="57" s="1"/>
  <c r="G47" i="57" s="1"/>
  <c r="E48" i="57"/>
  <c r="H48" i="57" s="1"/>
  <c r="G48" i="57" s="1"/>
  <c r="E49" i="57"/>
  <c r="H49" i="57" s="1"/>
  <c r="G49" i="57" s="1"/>
  <c r="F18" i="57"/>
  <c r="G18" i="57" s="1"/>
  <c r="D21" i="57"/>
  <c r="F21" i="57"/>
  <c r="G21" i="57" s="1"/>
  <c r="D20" i="57"/>
  <c r="F20" i="57"/>
  <c r="G20" i="57" s="1"/>
  <c r="D19" i="57"/>
  <c r="F19" i="57"/>
  <c r="G19" i="57" s="1"/>
  <c r="D18" i="57"/>
  <c r="D13" i="57"/>
  <c r="F13" i="57"/>
  <c r="G13" i="57" s="1"/>
  <c r="D11" i="57"/>
  <c r="F11" i="57"/>
  <c r="G11" i="57" s="1"/>
  <c r="D14" i="57"/>
  <c r="F14" i="57"/>
  <c r="G14" i="57" s="1"/>
  <c r="E12" i="57"/>
  <c r="F12" i="57" s="1"/>
  <c r="G12" i="57" s="1"/>
  <c r="D12" i="57"/>
  <c r="D5" i="57"/>
  <c r="D8" i="57"/>
  <c r="D9" i="57"/>
  <c r="D10" i="57"/>
  <c r="D15" i="57"/>
  <c r="D16" i="57"/>
  <c r="D17" i="57"/>
  <c r="F10" i="57"/>
  <c r="G10" i="57" s="1"/>
  <c r="F17" i="57"/>
  <c r="G17" i="57" s="1"/>
  <c r="F16" i="57"/>
  <c r="G16" i="57" s="1"/>
  <c r="F15" i="57"/>
  <c r="G15" i="57" s="1"/>
  <c r="F9" i="57"/>
  <c r="G9" i="57" s="1"/>
  <c r="E8" i="57"/>
  <c r="F8" i="57" s="1"/>
  <c r="G8" i="57" s="1"/>
  <c r="C6" i="57"/>
  <c r="D6" i="57" s="1"/>
  <c r="C7" i="57"/>
  <c r="F7" i="57" s="1"/>
  <c r="G7" i="57" s="1"/>
  <c r="F5" i="57"/>
  <c r="G5" i="57" s="1"/>
  <c r="G74" i="57" l="1"/>
  <c r="H33" i="57"/>
  <c r="G33" i="57" s="1"/>
  <c r="G55" i="57" s="1"/>
  <c r="F6" i="57"/>
  <c r="G6" i="57" s="1"/>
  <c r="G23" i="57" s="1"/>
  <c r="H74" i="57"/>
  <c r="D7" i="57"/>
  <c r="H55" i="57" l="1"/>
  <c r="F23" i="57"/>
  <c r="D77" i="57" l="1"/>
  <c r="C19" i="107"/>
  <c r="C20" i="107" s="1"/>
  <c r="C23" i="107" s="1"/>
  <c r="C145" i="107"/>
  <c r="C143" i="107"/>
  <c r="C142" i="107"/>
  <c r="C87" i="107"/>
  <c r="D72" i="107"/>
  <c r="C71" i="107"/>
  <c r="C70" i="107"/>
  <c r="C69" i="107"/>
  <c r="C67" i="107"/>
  <c r="C65" i="107"/>
  <c r="C63" i="107"/>
  <c r="C51" i="107"/>
  <c r="C58" i="107" s="1"/>
  <c r="C35" i="107"/>
  <c r="C25" i="107"/>
  <c r="C16" i="107"/>
  <c r="C12" i="107"/>
  <c r="C10" i="107"/>
  <c r="C9" i="107"/>
  <c r="D78" i="57" l="1"/>
  <c r="D79" i="57" s="1"/>
  <c r="D28" i="107"/>
  <c r="C146" i="107"/>
  <c r="D71" i="107"/>
  <c r="D68" i="107" s="1"/>
  <c r="C91" i="107"/>
  <c r="C110" i="107"/>
  <c r="C116" i="107"/>
  <c r="D34" i="107"/>
  <c r="D31" i="107"/>
  <c r="D66" i="107"/>
  <c r="D62" i="107" s="1"/>
  <c r="D75" i="107" s="1"/>
  <c r="D81" i="107" s="1"/>
  <c r="D32" i="107"/>
  <c r="D36" i="107"/>
  <c r="D29" i="107"/>
  <c r="D35" i="107"/>
  <c r="C21" i="107"/>
  <c r="C22" i="107"/>
  <c r="J108" i="103"/>
  <c r="J107" i="103"/>
  <c r="J106" i="103"/>
  <c r="J104" i="103"/>
  <c r="J102" i="103"/>
  <c r="J101" i="103"/>
  <c r="J100" i="103"/>
  <c r="J99" i="103"/>
  <c r="J98" i="103"/>
  <c r="J97" i="103"/>
  <c r="J96" i="103"/>
  <c r="J95" i="103"/>
  <c r="J94" i="103"/>
  <c r="J93" i="103"/>
  <c r="D80" i="57" l="1"/>
  <c r="D33" i="107"/>
  <c r="D86" i="107" s="1"/>
  <c r="D82" i="57" l="1"/>
  <c r="D83" i="57"/>
  <c r="D84" i="57"/>
  <c r="D81" i="57"/>
  <c r="D44" i="107"/>
  <c r="D43" i="107"/>
  <c r="D106" i="107"/>
  <c r="D92" i="107"/>
  <c r="D37" i="107"/>
  <c r="D149" i="107" s="1"/>
  <c r="D102" i="107"/>
  <c r="D88" i="107"/>
  <c r="D90" i="107"/>
  <c r="D91" i="107" s="1"/>
  <c r="D87" i="107"/>
  <c r="D94" i="107" l="1"/>
  <c r="D151" i="107" s="1"/>
  <c r="D45" i="107"/>
  <c r="D79" i="107" s="1"/>
  <c r="D55" i="107"/>
  <c r="D51" i="107"/>
  <c r="D57" i="107"/>
  <c r="D53" i="107"/>
  <c r="D56" i="107"/>
  <c r="D50" i="107"/>
  <c r="D58" i="107" s="1"/>
  <c r="D80" i="107" s="1"/>
  <c r="D82" i="107" s="1"/>
  <c r="D99" i="107"/>
  <c r="D104" i="107" s="1"/>
  <c r="D52" i="107"/>
  <c r="D49" i="107"/>
  <c r="D54" i="107"/>
  <c r="D85" i="57"/>
  <c r="D87" i="57" s="1"/>
  <c r="E186" i="29" s="1"/>
  <c r="F23" i="59" s="1"/>
  <c r="G23" i="59" s="1"/>
  <c r="C145" i="106"/>
  <c r="C143" i="106"/>
  <c r="C142" i="106"/>
  <c r="C87" i="106"/>
  <c r="D72" i="106"/>
  <c r="C71" i="106"/>
  <c r="C70" i="106"/>
  <c r="C69" i="106"/>
  <c r="D71" i="106" s="1"/>
  <c r="D68" i="106" s="1"/>
  <c r="C67" i="106"/>
  <c r="C65" i="106"/>
  <c r="C63" i="106"/>
  <c r="C51" i="106"/>
  <c r="C58" i="106" s="1"/>
  <c r="C110" i="106" s="1"/>
  <c r="C35" i="106"/>
  <c r="C25" i="106"/>
  <c r="C19" i="106"/>
  <c r="C16" i="106"/>
  <c r="C12" i="106"/>
  <c r="C10" i="106"/>
  <c r="C9" i="106"/>
  <c r="C19" i="105"/>
  <c r="C20" i="105" s="1"/>
  <c r="C145" i="105"/>
  <c r="C143" i="105"/>
  <c r="C142" i="105"/>
  <c r="C87" i="105"/>
  <c r="D72" i="105"/>
  <c r="C71" i="105"/>
  <c r="C70" i="105"/>
  <c r="C69" i="105"/>
  <c r="C67" i="105"/>
  <c r="C65" i="105"/>
  <c r="C63" i="105"/>
  <c r="C51" i="105"/>
  <c r="C58" i="105" s="1"/>
  <c r="C35" i="105"/>
  <c r="C25" i="105"/>
  <c r="C16" i="105"/>
  <c r="C12" i="105"/>
  <c r="C10" i="105"/>
  <c r="C9" i="105"/>
  <c r="C145" i="104"/>
  <c r="C143" i="104"/>
  <c r="C142" i="104"/>
  <c r="C146" i="104" s="1"/>
  <c r="C87" i="104"/>
  <c r="D72" i="104"/>
  <c r="C71" i="104"/>
  <c r="C70" i="104"/>
  <c r="C69" i="104"/>
  <c r="C67" i="104"/>
  <c r="C65" i="104"/>
  <c r="C63" i="104"/>
  <c r="C51" i="104"/>
  <c r="C58" i="104" s="1"/>
  <c r="C35" i="104"/>
  <c r="C25" i="104"/>
  <c r="C19" i="104"/>
  <c r="C16" i="104"/>
  <c r="C12" i="104"/>
  <c r="C10" i="104"/>
  <c r="C9" i="104"/>
  <c r="D115" i="107" l="1"/>
  <c r="D116" i="107" s="1"/>
  <c r="D117" i="107" s="1"/>
  <c r="D122" i="107" s="1"/>
  <c r="D150" i="107"/>
  <c r="D105" i="107"/>
  <c r="D108" i="107"/>
  <c r="D107" i="107"/>
  <c r="D103" i="107"/>
  <c r="D109" i="107" s="1"/>
  <c r="D71" i="105"/>
  <c r="D68" i="105" s="1"/>
  <c r="C146" i="105"/>
  <c r="D71" i="104"/>
  <c r="D68" i="104" s="1"/>
  <c r="C91" i="106"/>
  <c r="C116" i="106"/>
  <c r="C23" i="105"/>
  <c r="C22" i="105"/>
  <c r="C21" i="105"/>
  <c r="C91" i="105"/>
  <c r="C116" i="105"/>
  <c r="C110" i="105"/>
  <c r="D28" i="105"/>
  <c r="C110" i="104"/>
  <c r="C91" i="104"/>
  <c r="C116" i="104"/>
  <c r="D28" i="104" l="1"/>
  <c r="C20" i="104"/>
  <c r="D28" i="106"/>
  <c r="C20" i="106"/>
  <c r="C146" i="106"/>
  <c r="D110" i="107"/>
  <c r="D111" i="107" s="1"/>
  <c r="D121" i="107" s="1"/>
  <c r="D123" i="107" s="1"/>
  <c r="D36" i="105"/>
  <c r="D35" i="105"/>
  <c r="D34" i="105"/>
  <c r="D32" i="105"/>
  <c r="D31" i="105"/>
  <c r="D66" i="105"/>
  <c r="D62" i="105" s="1"/>
  <c r="D75" i="105" s="1"/>
  <c r="D81" i="105" s="1"/>
  <c r="D29" i="105"/>
  <c r="C116" i="29"/>
  <c r="D116" i="29" s="1" a="1"/>
  <c r="D116" i="29" s="1"/>
  <c r="E116" i="29" s="1"/>
  <c r="F116" i="29" s="1"/>
  <c r="C117" i="29"/>
  <c r="D117" i="29" s="1" a="1"/>
  <c r="D117" i="29" s="1"/>
  <c r="E117" i="29" s="1"/>
  <c r="F117" i="29" s="1"/>
  <c r="C87" i="29"/>
  <c r="D87" i="29" s="1" a="1"/>
  <c r="D87" i="29" s="1"/>
  <c r="E87" i="29" s="1"/>
  <c r="F87" i="29" s="1"/>
  <c r="C88" i="29"/>
  <c r="D88" i="29" s="1" a="1"/>
  <c r="D88" i="29" s="1"/>
  <c r="E88" i="29" s="1"/>
  <c r="F88" i="29" s="1"/>
  <c r="C58" i="29"/>
  <c r="C59" i="29"/>
  <c r="C29" i="29"/>
  <c r="D21" i="59" s="1"/>
  <c r="C30" i="29"/>
  <c r="D22" i="59" s="1"/>
  <c r="C145" i="29"/>
  <c r="D145" i="29" s="1" a="1"/>
  <c r="D145" i="29" s="1"/>
  <c r="E145" i="29" s="1"/>
  <c r="F145" i="29" s="1"/>
  <c r="C146" i="29"/>
  <c r="D146" i="29" s="1" a="1"/>
  <c r="D146" i="29" s="1"/>
  <c r="E146" i="29" s="1"/>
  <c r="F146" i="29" s="1"/>
  <c r="D59" i="29" l="1" a="1"/>
  <c r="D59" i="29" s="1"/>
  <c r="E59" i="29" s="1"/>
  <c r="F59" i="29" s="1"/>
  <c r="D58" i="29" a="1"/>
  <c r="D58" i="29" s="1"/>
  <c r="E58" i="29" s="1"/>
  <c r="F58" i="29" s="1"/>
  <c r="C23" i="106"/>
  <c r="C21" i="106"/>
  <c r="C22" i="106"/>
  <c r="D33" i="105"/>
  <c r="D88" i="105" s="1"/>
  <c r="D36" i="106"/>
  <c r="D66" i="106"/>
  <c r="D62" i="106" s="1"/>
  <c r="D75" i="106" s="1"/>
  <c r="D81" i="106" s="1"/>
  <c r="D32" i="106"/>
  <c r="D35" i="106"/>
  <c r="D31" i="106"/>
  <c r="D29" i="106"/>
  <c r="D34" i="106"/>
  <c r="C22" i="104"/>
  <c r="C21" i="104"/>
  <c r="C23" i="104"/>
  <c r="D31" i="104"/>
  <c r="D35" i="104"/>
  <c r="D29" i="104"/>
  <c r="D34" i="104"/>
  <c r="D66" i="104"/>
  <c r="D62" i="104" s="1"/>
  <c r="D75" i="104" s="1"/>
  <c r="D81" i="104" s="1"/>
  <c r="D36" i="104"/>
  <c r="D32" i="104"/>
  <c r="D152" i="107"/>
  <c r="C175" i="29"/>
  <c r="D175" i="29" s="1" a="1"/>
  <c r="D175" i="29" s="1"/>
  <c r="E175" i="29" s="1"/>
  <c r="F175" i="29" s="1"/>
  <c r="C174" i="29"/>
  <c r="D174" i="29" s="1" a="1"/>
  <c r="D174" i="29" s="1"/>
  <c r="E174" i="29" s="1"/>
  <c r="F174" i="29" s="1"/>
  <c r="D33" i="106" l="1"/>
  <c r="D90" i="105"/>
  <c r="D91" i="105" s="1"/>
  <c r="D102" i="105"/>
  <c r="D43" i="105"/>
  <c r="D44" i="105"/>
  <c r="D45" i="105" s="1"/>
  <c r="D92" i="105"/>
  <c r="D106" i="105"/>
  <c r="D37" i="105"/>
  <c r="D149" i="105" s="1"/>
  <c r="D86" i="105"/>
  <c r="D87" i="105" s="1"/>
  <c r="D43" i="106"/>
  <c r="D92" i="106"/>
  <c r="D90" i="106"/>
  <c r="D91" i="106" s="1"/>
  <c r="D37" i="106"/>
  <c r="D149" i="106" s="1"/>
  <c r="D44" i="106"/>
  <c r="D88" i="106"/>
  <c r="D106" i="106"/>
  <c r="D102" i="106"/>
  <c r="D86" i="106"/>
  <c r="D87" i="106" s="1"/>
  <c r="D33" i="104"/>
  <c r="C130" i="103"/>
  <c r="M130" i="103" s="1"/>
  <c r="D168" i="29" s="1"/>
  <c r="C129" i="103"/>
  <c r="C128" i="103"/>
  <c r="C126" i="103"/>
  <c r="M126" i="103" s="1"/>
  <c r="D164" i="29" s="1"/>
  <c r="C124" i="103"/>
  <c r="M124" i="103" s="1"/>
  <c r="D162" i="29" s="1"/>
  <c r="C123" i="103"/>
  <c r="M123" i="103" s="1"/>
  <c r="D161" i="29" s="1"/>
  <c r="C122" i="103"/>
  <c r="M122" i="103" s="1"/>
  <c r="D160" i="29" s="1"/>
  <c r="C121" i="103"/>
  <c r="M121" i="103" s="1"/>
  <c r="D159" i="29" s="1"/>
  <c r="C120" i="103"/>
  <c r="M120" i="103" s="1"/>
  <c r="D158" i="29" s="1"/>
  <c r="C119" i="103"/>
  <c r="M119" i="103" s="1"/>
  <c r="D157" i="29" s="1"/>
  <c r="C118" i="103"/>
  <c r="M118" i="103" s="1"/>
  <c r="D156" i="29" s="1"/>
  <c r="C117" i="103"/>
  <c r="M117" i="103" s="1"/>
  <c r="D155" i="29" s="1"/>
  <c r="C116" i="103"/>
  <c r="M116" i="103" s="1"/>
  <c r="D154" i="29" s="1"/>
  <c r="C115" i="103"/>
  <c r="M115" i="103" s="1"/>
  <c r="C108" i="103"/>
  <c r="M108" i="103" s="1"/>
  <c r="D139" i="29" s="1"/>
  <c r="C107" i="103"/>
  <c r="M107" i="103" s="1"/>
  <c r="D138" i="29" s="1"/>
  <c r="C106" i="103"/>
  <c r="M106" i="103" s="1"/>
  <c r="D137" i="29" s="1"/>
  <c r="C104" i="103"/>
  <c r="M104" i="103" s="1"/>
  <c r="D135" i="29" s="1"/>
  <c r="C102" i="103"/>
  <c r="M102" i="103" s="1"/>
  <c r="D133" i="29" s="1"/>
  <c r="C101" i="103"/>
  <c r="M101" i="103" s="1"/>
  <c r="D132" i="29" s="1"/>
  <c r="C100" i="103"/>
  <c r="M100" i="103" s="1"/>
  <c r="D131" i="29" s="1"/>
  <c r="C99" i="103"/>
  <c r="M99" i="103" s="1"/>
  <c r="D130" i="29" s="1"/>
  <c r="C98" i="103"/>
  <c r="M98" i="103" s="1"/>
  <c r="D129" i="29" s="1"/>
  <c r="C97" i="103"/>
  <c r="M97" i="103" s="1"/>
  <c r="D128" i="29" s="1"/>
  <c r="C96" i="103"/>
  <c r="M96" i="103" s="1"/>
  <c r="D127" i="29" s="1"/>
  <c r="C95" i="103"/>
  <c r="M95" i="103" s="1"/>
  <c r="D126" i="29" s="1"/>
  <c r="C94" i="103"/>
  <c r="M94" i="103" s="1"/>
  <c r="D125" i="29" s="1"/>
  <c r="C93" i="103"/>
  <c r="M93" i="103" s="1"/>
  <c r="C85" i="103"/>
  <c r="M85" i="103" s="1"/>
  <c r="D110" i="29" s="1"/>
  <c r="E66" i="59" s="1"/>
  <c r="C84" i="103"/>
  <c r="C83" i="103"/>
  <c r="C81" i="103"/>
  <c r="C79" i="103"/>
  <c r="C78" i="103"/>
  <c r="C77" i="103"/>
  <c r="M77" i="103" s="1"/>
  <c r="D102" i="29" s="1"/>
  <c r="E60" i="59" s="1"/>
  <c r="C76" i="103"/>
  <c r="C75" i="103"/>
  <c r="C74" i="103"/>
  <c r="C73" i="103"/>
  <c r="M73" i="103" s="1"/>
  <c r="D98" i="29" s="1"/>
  <c r="E56" i="59" s="1"/>
  <c r="C72" i="103"/>
  <c r="M72" i="103" s="1"/>
  <c r="D97" i="29" s="1"/>
  <c r="E55" i="59" s="1"/>
  <c r="C71" i="103"/>
  <c r="C70" i="103"/>
  <c r="C64" i="103"/>
  <c r="M64" i="103" s="1"/>
  <c r="D81" i="29" s="1"/>
  <c r="E52" i="59" s="1"/>
  <c r="C63" i="103"/>
  <c r="C62" i="103"/>
  <c r="C60" i="103"/>
  <c r="C58" i="103"/>
  <c r="C57" i="103"/>
  <c r="C56" i="103"/>
  <c r="C55" i="103"/>
  <c r="C54" i="103"/>
  <c r="C53" i="103"/>
  <c r="M53" i="103" s="1"/>
  <c r="D70" i="29" s="1"/>
  <c r="E43" i="59" s="1"/>
  <c r="C52" i="103"/>
  <c r="M52" i="103" s="1"/>
  <c r="D69" i="29" s="1"/>
  <c r="E42" i="59" s="1"/>
  <c r="C51" i="103"/>
  <c r="M51" i="103" s="1"/>
  <c r="D68" i="29" s="1"/>
  <c r="E41" i="59" s="1"/>
  <c r="C50" i="103"/>
  <c r="C49" i="103"/>
  <c r="C42" i="103"/>
  <c r="M42" i="103" s="1"/>
  <c r="C41" i="103"/>
  <c r="C40" i="103"/>
  <c r="C38" i="103"/>
  <c r="C36" i="103"/>
  <c r="C35" i="103"/>
  <c r="C34" i="103"/>
  <c r="C33" i="103"/>
  <c r="C32" i="103"/>
  <c r="C31" i="103"/>
  <c r="M31" i="103" s="1"/>
  <c r="C30" i="103"/>
  <c r="M30" i="103" s="1"/>
  <c r="C29" i="103"/>
  <c r="M29" i="103" s="1"/>
  <c r="C28" i="103"/>
  <c r="C27" i="103"/>
  <c r="C21" i="103"/>
  <c r="H21" i="103" s="1"/>
  <c r="C17" i="103"/>
  <c r="C14" i="103"/>
  <c r="C13" i="103"/>
  <c r="C12" i="103"/>
  <c r="C11" i="103"/>
  <c r="C10" i="103"/>
  <c r="C8" i="103"/>
  <c r="C6" i="103"/>
  <c r="C173" i="29"/>
  <c r="D173" i="29" s="1" a="1"/>
  <c r="D173" i="29" s="1"/>
  <c r="E173" i="29" s="1"/>
  <c r="F173" i="29" s="1"/>
  <c r="C172" i="29"/>
  <c r="D172" i="29" s="1" a="1"/>
  <c r="D172" i="29" s="1"/>
  <c r="E172" i="29" s="1"/>
  <c r="F172" i="29" s="1"/>
  <c r="C171" i="29"/>
  <c r="D70" i="59" s="1"/>
  <c r="C170" i="29"/>
  <c r="D170" i="29" s="1" a="1"/>
  <c r="D170" i="29" s="1"/>
  <c r="E170" i="29" s="1"/>
  <c r="C168" i="29"/>
  <c r="C167" i="29"/>
  <c r="D69" i="59" s="1"/>
  <c r="C166" i="29"/>
  <c r="D68" i="59" s="1"/>
  <c r="C164" i="29"/>
  <c r="C162" i="29"/>
  <c r="C161" i="29"/>
  <c r="C160" i="29"/>
  <c r="C159" i="29"/>
  <c r="C158" i="29"/>
  <c r="C157" i="29"/>
  <c r="C156" i="29"/>
  <c r="C155" i="29"/>
  <c r="C154" i="29"/>
  <c r="C153" i="29"/>
  <c r="C144" i="29"/>
  <c r="D144" i="29" s="1" a="1"/>
  <c r="D144" i="29" s="1"/>
  <c r="E144" i="29" s="1"/>
  <c r="F144" i="29" s="1"/>
  <c r="C143" i="29"/>
  <c r="D143" i="29" s="1" a="1"/>
  <c r="D143" i="29" s="1"/>
  <c r="E143" i="29" s="1"/>
  <c r="F143" i="29" s="1"/>
  <c r="C142" i="29"/>
  <c r="D67" i="59" s="1"/>
  <c r="C141" i="29"/>
  <c r="D141" i="29" s="1" a="1"/>
  <c r="D141" i="29" s="1"/>
  <c r="E141" i="29" s="1"/>
  <c r="C138" i="29"/>
  <c r="C137" i="29"/>
  <c r="C135" i="29"/>
  <c r="C133" i="29"/>
  <c r="C132" i="29"/>
  <c r="C131" i="29"/>
  <c r="C130" i="29"/>
  <c r="C129" i="29"/>
  <c r="C128" i="29"/>
  <c r="C127" i="29"/>
  <c r="C126" i="29"/>
  <c r="C125" i="29"/>
  <c r="C124" i="29"/>
  <c r="C139" i="29"/>
  <c r="C115" i="29"/>
  <c r="D115" i="29" s="1" a="1"/>
  <c r="D115" i="29" s="1"/>
  <c r="E115" i="29" s="1"/>
  <c r="F115" i="29" s="1"/>
  <c r="C114" i="29"/>
  <c r="D114" i="29" s="1" a="1"/>
  <c r="D114" i="29" s="1"/>
  <c r="E114" i="29" s="1"/>
  <c r="F114" i="29" s="1"/>
  <c r="C113" i="29"/>
  <c r="D113" i="29" s="1" a="1"/>
  <c r="D113" i="29" s="1"/>
  <c r="E113" i="29" s="1"/>
  <c r="F113" i="29" s="1"/>
  <c r="C112" i="29"/>
  <c r="D112" i="29" s="1" a="1"/>
  <c r="D112" i="29" s="1"/>
  <c r="E112" i="29" s="1"/>
  <c r="C110" i="29"/>
  <c r="D66" i="59" s="1"/>
  <c r="C109" i="29"/>
  <c r="D65" i="59" s="1"/>
  <c r="C108" i="29"/>
  <c r="D64" i="59" s="1"/>
  <c r="C106" i="29"/>
  <c r="D63" i="59" s="1"/>
  <c r="C104" i="29"/>
  <c r="D62" i="59" s="1"/>
  <c r="C103" i="29"/>
  <c r="D61" i="59" s="1"/>
  <c r="C102" i="29"/>
  <c r="D60" i="59" s="1"/>
  <c r="C101" i="29"/>
  <c r="D59" i="59" s="1"/>
  <c r="C100" i="29"/>
  <c r="D58" i="59" s="1"/>
  <c r="C99" i="29"/>
  <c r="D57" i="59" s="1"/>
  <c r="C98" i="29"/>
  <c r="D56" i="59" s="1"/>
  <c r="C97" i="29"/>
  <c r="D55" i="59" s="1"/>
  <c r="C96" i="29"/>
  <c r="D54" i="59" s="1"/>
  <c r="C95" i="29"/>
  <c r="D53" i="59" s="1"/>
  <c r="C86" i="29"/>
  <c r="D86" i="29" s="1" a="1"/>
  <c r="D86" i="29" s="1"/>
  <c r="E86" i="29" s="1"/>
  <c r="F86" i="29" s="1"/>
  <c r="C85" i="29"/>
  <c r="D85" i="29" s="1" a="1"/>
  <c r="D85" i="29" s="1"/>
  <c r="E85" i="29" s="1"/>
  <c r="F85" i="29" s="1"/>
  <c r="C84" i="29"/>
  <c r="D84" i="29" s="1" a="1"/>
  <c r="D84" i="29" s="1"/>
  <c r="E84" i="29" s="1"/>
  <c r="C81" i="29"/>
  <c r="D52" i="59" s="1"/>
  <c r="C80" i="29"/>
  <c r="D51" i="59" s="1"/>
  <c r="C79" i="29"/>
  <c r="D50" i="59" s="1"/>
  <c r="C77" i="29"/>
  <c r="D49" i="59" s="1"/>
  <c r="C75" i="29"/>
  <c r="D48" i="59" s="1"/>
  <c r="C74" i="29"/>
  <c r="D47" i="59" s="1"/>
  <c r="C73" i="29"/>
  <c r="D46" i="59" s="1"/>
  <c r="C72" i="29"/>
  <c r="D45" i="59" s="1"/>
  <c r="C71" i="29"/>
  <c r="D44" i="59" s="1"/>
  <c r="C70" i="29"/>
  <c r="D43" i="59" s="1"/>
  <c r="C69" i="29"/>
  <c r="D42" i="59" s="1"/>
  <c r="C68" i="29"/>
  <c r="D41" i="59" s="1"/>
  <c r="C67" i="29"/>
  <c r="D40" i="59" s="1"/>
  <c r="C66" i="29"/>
  <c r="D39" i="59" s="1"/>
  <c r="C57" i="29"/>
  <c r="C56" i="29"/>
  <c r="C55" i="29"/>
  <c r="D38" i="59" s="1"/>
  <c r="C54" i="29"/>
  <c r="C52" i="29"/>
  <c r="D37" i="59" s="1"/>
  <c r="C51" i="29"/>
  <c r="D36" i="59" s="1"/>
  <c r="C50" i="29"/>
  <c r="D35" i="59" s="1"/>
  <c r="C48" i="29"/>
  <c r="D34" i="59" s="1"/>
  <c r="C38" i="29"/>
  <c r="D25" i="59" s="1"/>
  <c r="C39" i="29"/>
  <c r="D26" i="59" s="1"/>
  <c r="C40" i="29"/>
  <c r="D27" i="59" s="1"/>
  <c r="C41" i="29"/>
  <c r="D28" i="59" s="1"/>
  <c r="C42" i="29"/>
  <c r="D29" i="59" s="1"/>
  <c r="C43" i="29"/>
  <c r="D30" i="59" s="1"/>
  <c r="C44" i="29"/>
  <c r="D31" i="59" s="1"/>
  <c r="C45" i="29"/>
  <c r="D32" i="59" s="1"/>
  <c r="C46" i="29"/>
  <c r="D33" i="59" s="1"/>
  <c r="C37" i="29"/>
  <c r="D24" i="59" s="1"/>
  <c r="C26" i="29"/>
  <c r="D18" i="59" s="1"/>
  <c r="C27" i="29"/>
  <c r="D19" i="59" s="1"/>
  <c r="C28" i="29"/>
  <c r="D20" i="59" s="1"/>
  <c r="C25" i="29"/>
  <c r="D17" i="59" s="1"/>
  <c r="C145" i="101"/>
  <c r="C143" i="101"/>
  <c r="C142" i="101"/>
  <c r="C87" i="101"/>
  <c r="D72" i="101"/>
  <c r="C71" i="101"/>
  <c r="C70" i="101"/>
  <c r="C69" i="101"/>
  <c r="C67" i="101"/>
  <c r="C65" i="101"/>
  <c r="C63" i="101"/>
  <c r="C51" i="101"/>
  <c r="C58" i="101" s="1"/>
  <c r="C35" i="101"/>
  <c r="C25" i="101"/>
  <c r="C19" i="101"/>
  <c r="D28" i="101" s="1"/>
  <c r="C16" i="101"/>
  <c r="C12" i="101"/>
  <c r="C10" i="101"/>
  <c r="C145" i="100"/>
  <c r="C143" i="100"/>
  <c r="C142" i="100"/>
  <c r="C87" i="100"/>
  <c r="D72" i="100"/>
  <c r="C71" i="100"/>
  <c r="C70" i="100"/>
  <c r="C69" i="100"/>
  <c r="C67" i="100"/>
  <c r="C65" i="100"/>
  <c r="C63" i="100"/>
  <c r="C51" i="100"/>
  <c r="C58" i="100" s="1"/>
  <c r="C35" i="100"/>
  <c r="C25" i="100"/>
  <c r="C19" i="100"/>
  <c r="D28" i="100" s="1"/>
  <c r="C16" i="100"/>
  <c r="C12" i="100"/>
  <c r="C10" i="100"/>
  <c r="C9" i="100"/>
  <c r="F43" i="59" l="1"/>
  <c r="G43" i="59" s="1"/>
  <c r="F60" i="59"/>
  <c r="G60" i="59" s="1"/>
  <c r="F66" i="59"/>
  <c r="G66" i="59" s="1"/>
  <c r="F41" i="59"/>
  <c r="G41" i="59" s="1"/>
  <c r="F52" i="59"/>
  <c r="G52" i="59" s="1"/>
  <c r="F42" i="59"/>
  <c r="G42" i="59" s="1"/>
  <c r="F55" i="59"/>
  <c r="G55" i="59" s="1"/>
  <c r="F56" i="59"/>
  <c r="G56" i="59" s="1"/>
  <c r="E119" i="29"/>
  <c r="F112" i="29"/>
  <c r="F119" i="29" s="1"/>
  <c r="F170" i="29"/>
  <c r="D54" i="29" a="1"/>
  <c r="D54" i="29" s="1"/>
  <c r="E54" i="29" s="1"/>
  <c r="F54" i="29" s="1"/>
  <c r="F84" i="29"/>
  <c r="F90" i="29" s="1"/>
  <c r="E90" i="29"/>
  <c r="F141" i="29"/>
  <c r="D56" i="29" a="1"/>
  <c r="D56" i="29" s="1"/>
  <c r="E56" i="29" s="1"/>
  <c r="F56" i="29" s="1"/>
  <c r="D57" i="29" a="1"/>
  <c r="D57" i="29" s="1"/>
  <c r="E57" i="29" s="1"/>
  <c r="F57" i="29" s="1"/>
  <c r="D94" i="106"/>
  <c r="D151" i="106" s="1"/>
  <c r="D94" i="105"/>
  <c r="D151" i="105" s="1"/>
  <c r="D71" i="100"/>
  <c r="D68" i="100" s="1"/>
  <c r="C146" i="101"/>
  <c r="D37" i="104"/>
  <c r="D149" i="104" s="1"/>
  <c r="D106" i="104"/>
  <c r="D44" i="104"/>
  <c r="D102" i="104"/>
  <c r="D90" i="104"/>
  <c r="D91" i="104" s="1"/>
  <c r="D92" i="104"/>
  <c r="D43" i="104"/>
  <c r="D88" i="104"/>
  <c r="D86" i="104"/>
  <c r="D45" i="106"/>
  <c r="D124" i="29"/>
  <c r="M109" i="103"/>
  <c r="D153" i="29"/>
  <c r="D176" i="29" s="1"/>
  <c r="M131" i="103"/>
  <c r="D79" i="105"/>
  <c r="D57" i="105"/>
  <c r="D53" i="105"/>
  <c r="D51" i="105"/>
  <c r="D56" i="105"/>
  <c r="D52" i="105"/>
  <c r="D50" i="105"/>
  <c r="D55" i="105"/>
  <c r="D49" i="105"/>
  <c r="D54" i="105"/>
  <c r="D99" i="105"/>
  <c r="C119" i="29"/>
  <c r="C32" i="29"/>
  <c r="C61" i="29"/>
  <c r="C177" i="29"/>
  <c r="C20" i="101"/>
  <c r="C146" i="100"/>
  <c r="D71" i="101"/>
  <c r="D68" i="101" s="1"/>
  <c r="C148" i="29"/>
  <c r="C90" i="29"/>
  <c r="H36" i="103"/>
  <c r="H116" i="103"/>
  <c r="K116" i="103" s="1"/>
  <c r="H38" i="103"/>
  <c r="H126" i="103"/>
  <c r="K126" i="103" s="1"/>
  <c r="H30" i="103"/>
  <c r="D40" i="29"/>
  <c r="H40" i="103"/>
  <c r="H54" i="103"/>
  <c r="H64" i="103"/>
  <c r="H77" i="103"/>
  <c r="H94" i="103"/>
  <c r="K94" i="103" s="1"/>
  <c r="H102" i="103"/>
  <c r="K102" i="103" s="1"/>
  <c r="H118" i="103"/>
  <c r="K118" i="103" s="1"/>
  <c r="H128" i="103"/>
  <c r="H52" i="103"/>
  <c r="H6" i="103"/>
  <c r="H53" i="103"/>
  <c r="H17" i="103"/>
  <c r="H31" i="103"/>
  <c r="D41" i="29"/>
  <c r="H41" i="103"/>
  <c r="H55" i="103"/>
  <c r="H70" i="103"/>
  <c r="H78" i="103"/>
  <c r="H95" i="103"/>
  <c r="K95" i="103" s="1"/>
  <c r="H104" i="103"/>
  <c r="K104" i="103" s="1"/>
  <c r="H119" i="103"/>
  <c r="K119" i="103" s="1"/>
  <c r="H129" i="103"/>
  <c r="H62" i="103"/>
  <c r="H14" i="103"/>
  <c r="H101" i="103"/>
  <c r="K101" i="103" s="1"/>
  <c r="H32" i="103"/>
  <c r="H42" i="103"/>
  <c r="D52" i="29"/>
  <c r="H56" i="103"/>
  <c r="H71" i="103"/>
  <c r="H79" i="103"/>
  <c r="C154" i="103" s="1"/>
  <c r="D154" i="103" s="1"/>
  <c r="H96" i="103"/>
  <c r="K96" i="103" s="1"/>
  <c r="H106" i="103"/>
  <c r="K106" i="103" s="1"/>
  <c r="H120" i="103"/>
  <c r="K120" i="103" s="1"/>
  <c r="H130" i="103"/>
  <c r="H75" i="103"/>
  <c r="H124" i="103"/>
  <c r="K124" i="103" s="1"/>
  <c r="H93" i="103"/>
  <c r="K93" i="103" s="1"/>
  <c r="H10" i="103"/>
  <c r="H33" i="103"/>
  <c r="H49" i="103"/>
  <c r="H57" i="103"/>
  <c r="H72" i="103"/>
  <c r="H81" i="103"/>
  <c r="H97" i="103"/>
  <c r="K97" i="103" s="1"/>
  <c r="H107" i="103"/>
  <c r="K107" i="103" s="1"/>
  <c r="H121" i="103"/>
  <c r="K121" i="103" s="1"/>
  <c r="H28" i="103"/>
  <c r="H85" i="103"/>
  <c r="H29" i="103"/>
  <c r="D39" i="29"/>
  <c r="H76" i="103"/>
  <c r="H8" i="103"/>
  <c r="H11" i="103"/>
  <c r="H34" i="103"/>
  <c r="H50" i="103"/>
  <c r="H58" i="103"/>
  <c r="C151" i="103" s="1"/>
  <c r="D151" i="103" s="1"/>
  <c r="H73" i="103"/>
  <c r="H83" i="103"/>
  <c r="H98" i="103"/>
  <c r="K98" i="103" s="1"/>
  <c r="H108" i="103"/>
  <c r="K108" i="103" s="1"/>
  <c r="H122" i="103"/>
  <c r="K122" i="103" s="1"/>
  <c r="H13" i="103"/>
  <c r="H100" i="103"/>
  <c r="K100" i="103" s="1"/>
  <c r="H63" i="103"/>
  <c r="H117" i="103"/>
  <c r="K117" i="103" s="1"/>
  <c r="H12" i="103"/>
  <c r="H27" i="103"/>
  <c r="H35" i="103"/>
  <c r="H51" i="103"/>
  <c r="H60" i="103"/>
  <c r="H74" i="103"/>
  <c r="H84" i="103"/>
  <c r="H99" i="103"/>
  <c r="K99" i="103" s="1"/>
  <c r="H115" i="103"/>
  <c r="K115" i="103" s="1"/>
  <c r="H123" i="103"/>
  <c r="K123" i="103" s="1"/>
  <c r="C109" i="103"/>
  <c r="C65" i="103"/>
  <c r="D43" i="103"/>
  <c r="C131" i="103"/>
  <c r="D86" i="103"/>
  <c r="D65" i="103"/>
  <c r="C43" i="103"/>
  <c r="D109" i="103"/>
  <c r="D131" i="103"/>
  <c r="C86" i="103"/>
  <c r="C147" i="29"/>
  <c r="E164" i="29"/>
  <c r="F164" i="29" s="1"/>
  <c r="C176" i="29"/>
  <c r="E137" i="29"/>
  <c r="F137" i="29" s="1"/>
  <c r="E135" i="29"/>
  <c r="F135" i="29" s="1"/>
  <c r="C118" i="29"/>
  <c r="C89" i="29"/>
  <c r="C60" i="29"/>
  <c r="D36" i="101"/>
  <c r="D35" i="101"/>
  <c r="D34" i="101"/>
  <c r="D32" i="101"/>
  <c r="D31" i="101"/>
  <c r="D66" i="101"/>
  <c r="D62" i="101" s="1"/>
  <c r="D29" i="101"/>
  <c r="C91" i="101"/>
  <c r="C116" i="101"/>
  <c r="C110" i="101"/>
  <c r="C21" i="101"/>
  <c r="D36" i="100"/>
  <c r="D35" i="100"/>
  <c r="D34" i="100"/>
  <c r="D32" i="100"/>
  <c r="D31" i="100"/>
  <c r="D66" i="100"/>
  <c r="D62" i="100" s="1"/>
  <c r="D75" i="100" s="1"/>
  <c r="D81" i="100" s="1"/>
  <c r="D29" i="100"/>
  <c r="C116" i="100"/>
  <c r="C110" i="100"/>
  <c r="C91" i="100"/>
  <c r="C20" i="100"/>
  <c r="D45" i="104" l="1"/>
  <c r="E40" i="29"/>
  <c r="F40" i="29" s="1"/>
  <c r="E27" i="59"/>
  <c r="F27" i="59" s="1"/>
  <c r="G27" i="59" s="1"/>
  <c r="E52" i="29"/>
  <c r="F52" i="29" s="1"/>
  <c r="E37" i="59"/>
  <c r="F37" i="59" s="1"/>
  <c r="G37" i="59" s="1"/>
  <c r="E39" i="29"/>
  <c r="F39" i="29" s="1"/>
  <c r="E26" i="59"/>
  <c r="F26" i="59" s="1"/>
  <c r="G26" i="59" s="1"/>
  <c r="E41" i="29"/>
  <c r="F41" i="29" s="1"/>
  <c r="E28" i="59"/>
  <c r="F28" i="59" s="1"/>
  <c r="G28" i="59" s="1"/>
  <c r="C147" i="103"/>
  <c r="D147" i="103" s="1"/>
  <c r="C150" i="103"/>
  <c r="D150" i="103" s="1"/>
  <c r="C153" i="103"/>
  <c r="D153" i="103" s="1"/>
  <c r="C148" i="103"/>
  <c r="D148" i="103" s="1"/>
  <c r="D79" i="106"/>
  <c r="D57" i="106"/>
  <c r="D49" i="106"/>
  <c r="D50" i="106"/>
  <c r="D56" i="106"/>
  <c r="D54" i="106"/>
  <c r="D99" i="106"/>
  <c r="D51" i="106"/>
  <c r="D55" i="106"/>
  <c r="D53" i="106"/>
  <c r="D52" i="106"/>
  <c r="D99" i="104"/>
  <c r="D57" i="104"/>
  <c r="D54" i="104"/>
  <c r="D55" i="104"/>
  <c r="D53" i="104"/>
  <c r="D50" i="104"/>
  <c r="D52" i="104"/>
  <c r="D79" i="104"/>
  <c r="D51" i="104"/>
  <c r="D49" i="104"/>
  <c r="D56" i="104"/>
  <c r="D75" i="101"/>
  <c r="D81" i="101" s="1"/>
  <c r="E153" i="29"/>
  <c r="F153" i="29" s="1"/>
  <c r="D87" i="104"/>
  <c r="D94" i="104" s="1"/>
  <c r="D151" i="104" s="1"/>
  <c r="K109" i="103"/>
  <c r="D58" i="105"/>
  <c r="D80" i="105" s="1"/>
  <c r="D82" i="105" s="1"/>
  <c r="D105" i="105"/>
  <c r="D103" i="105"/>
  <c r="D108" i="105"/>
  <c r="D107" i="105"/>
  <c r="D104" i="105"/>
  <c r="C136" i="103"/>
  <c r="D136" i="103" s="1"/>
  <c r="D33" i="100"/>
  <c r="D37" i="100" s="1"/>
  <c r="C23" i="101"/>
  <c r="C22" i="101"/>
  <c r="D33" i="101"/>
  <c r="D92" i="101" s="1"/>
  <c r="H109" i="103"/>
  <c r="H65" i="103"/>
  <c r="H86" i="103"/>
  <c r="H43" i="103"/>
  <c r="H131" i="103"/>
  <c r="E182" i="29"/>
  <c r="C23" i="100"/>
  <c r="C22" i="100"/>
  <c r="C21" i="100"/>
  <c r="D37" i="101" l="1"/>
  <c r="D90" i="101"/>
  <c r="D91" i="101" s="1"/>
  <c r="D106" i="101"/>
  <c r="D88" i="101"/>
  <c r="D43" i="101"/>
  <c r="D86" i="100"/>
  <c r="D87" i="100" s="1"/>
  <c r="D92" i="100"/>
  <c r="D44" i="100"/>
  <c r="D88" i="100"/>
  <c r="D90" i="100"/>
  <c r="D91" i="100" s="1"/>
  <c r="D86" i="101"/>
  <c r="D87" i="101" s="1"/>
  <c r="D102" i="101"/>
  <c r="D104" i="106"/>
  <c r="D103" i="106"/>
  <c r="D108" i="106"/>
  <c r="D105" i="106"/>
  <c r="D107" i="106"/>
  <c r="D58" i="104"/>
  <c r="D80" i="104" s="1"/>
  <c r="D82" i="104" s="1"/>
  <c r="D107" i="104"/>
  <c r="D103" i="104"/>
  <c r="D105" i="104"/>
  <c r="D108" i="104"/>
  <c r="D104" i="104"/>
  <c r="D58" i="106"/>
  <c r="D80" i="106" s="1"/>
  <c r="D82" i="106" s="1"/>
  <c r="D109" i="105"/>
  <c r="D150" i="105"/>
  <c r="D115" i="105"/>
  <c r="D106" i="100"/>
  <c r="D43" i="100"/>
  <c r="D102" i="100"/>
  <c r="D44" i="101"/>
  <c r="D149" i="101"/>
  <c r="D149" i="100"/>
  <c r="D94" i="101" l="1"/>
  <c r="D151" i="101" s="1"/>
  <c r="D45" i="101"/>
  <c r="D94" i="100"/>
  <c r="D151" i="100" s="1"/>
  <c r="D45" i="100"/>
  <c r="D50" i="100" s="1"/>
  <c r="D109" i="104"/>
  <c r="D110" i="104" s="1"/>
  <c r="D111" i="104" s="1"/>
  <c r="D121" i="104" s="1"/>
  <c r="D115" i="106"/>
  <c r="D116" i="106" s="1"/>
  <c r="D117" i="106" s="1"/>
  <c r="D122" i="106" s="1"/>
  <c r="D150" i="106"/>
  <c r="D150" i="104"/>
  <c r="D115" i="104"/>
  <c r="D116" i="104" s="1"/>
  <c r="D117" i="104" s="1"/>
  <c r="D122" i="104" s="1"/>
  <c r="D109" i="106"/>
  <c r="D110" i="106" s="1"/>
  <c r="D111" i="106" s="1"/>
  <c r="D121" i="106" s="1"/>
  <c r="D116" i="105"/>
  <c r="D117" i="105" s="1"/>
  <c r="D122" i="105" s="1"/>
  <c r="D110" i="105"/>
  <c r="D111" i="105" s="1"/>
  <c r="D121" i="105" s="1"/>
  <c r="D79" i="101"/>
  <c r="D52" i="101"/>
  <c r="D53" i="101"/>
  <c r="D57" i="101"/>
  <c r="D49" i="101"/>
  <c r="D55" i="101"/>
  <c r="D51" i="101"/>
  <c r="D54" i="101"/>
  <c r="D99" i="101"/>
  <c r="D50" i="101"/>
  <c r="D56" i="101"/>
  <c r="D54" i="100"/>
  <c r="D123" i="104" l="1"/>
  <c r="D152" i="104" s="1"/>
  <c r="D123" i="106"/>
  <c r="D49" i="100"/>
  <c r="D52" i="100"/>
  <c r="D56" i="100"/>
  <c r="D57" i="100"/>
  <c r="D55" i="100"/>
  <c r="D79" i="100"/>
  <c r="D51" i="100"/>
  <c r="D53" i="100"/>
  <c r="D99" i="100"/>
  <c r="D108" i="100" s="1"/>
  <c r="D123" i="105"/>
  <c r="D152" i="106"/>
  <c r="D152" i="105"/>
  <c r="D108" i="101"/>
  <c r="D103" i="101"/>
  <c r="D107" i="101"/>
  <c r="D104" i="101"/>
  <c r="D105" i="101"/>
  <c r="D58" i="101"/>
  <c r="D80" i="101" s="1"/>
  <c r="D82" i="101"/>
  <c r="D58" i="100" l="1"/>
  <c r="D80" i="100" s="1"/>
  <c r="D82" i="100"/>
  <c r="D150" i="100" s="1"/>
  <c r="D104" i="100"/>
  <c r="D103" i="100"/>
  <c r="D107" i="100"/>
  <c r="D109" i="100" s="1"/>
  <c r="D110" i="100" s="1"/>
  <c r="D111" i="100" s="1"/>
  <c r="D121" i="100" s="1"/>
  <c r="D105" i="100"/>
  <c r="D150" i="101"/>
  <c r="D115" i="101"/>
  <c r="D109" i="101"/>
  <c r="D115" i="100" l="1"/>
  <c r="D110" i="101"/>
  <c r="D111" i="101" s="1"/>
  <c r="D121" i="101" s="1"/>
  <c r="D116" i="101"/>
  <c r="D117" i="101" s="1"/>
  <c r="D122" i="101" s="1"/>
  <c r="D116" i="100"/>
  <c r="D117" i="100" s="1"/>
  <c r="D122" i="100" s="1"/>
  <c r="D123" i="100" s="1"/>
  <c r="D123" i="101" l="1"/>
  <c r="D152" i="100"/>
  <c r="D152" i="101" l="1"/>
  <c r="C23" i="29" l="1"/>
  <c r="D16" i="59" s="1"/>
  <c r="C19" i="29"/>
  <c r="D13" i="59" s="1"/>
  <c r="F1395" i="80"/>
  <c r="C9" i="103" s="1"/>
  <c r="H9" i="103" s="1"/>
  <c r="C10" i="29"/>
  <c r="D5" i="59" s="1"/>
  <c r="C11" i="29"/>
  <c r="D6" i="59" s="1"/>
  <c r="C12" i="29"/>
  <c r="D7" i="59" s="1"/>
  <c r="C13" i="29"/>
  <c r="D8" i="59" s="1"/>
  <c r="C14" i="29"/>
  <c r="D9" i="59" s="1"/>
  <c r="C15" i="29"/>
  <c r="D10" i="59" s="1"/>
  <c r="C16" i="29"/>
  <c r="D11" i="59" s="1"/>
  <c r="C17" i="29"/>
  <c r="D12" i="59" s="1"/>
  <c r="F1569" i="80"/>
  <c r="F1568" i="80"/>
  <c r="F1565" i="80"/>
  <c r="F1444" i="80"/>
  <c r="F1547" i="80"/>
  <c r="C20" i="103" s="1"/>
  <c r="F1546" i="80"/>
  <c r="F1545" i="80"/>
  <c r="C15" i="103" s="1"/>
  <c r="F1543" i="80"/>
  <c r="C7" i="103" l="1"/>
  <c r="H7" i="103" s="1"/>
  <c r="C19" i="103"/>
  <c r="H19" i="103" s="1"/>
  <c r="C9" i="29"/>
  <c r="D4" i="59" s="1"/>
  <c r="H20" i="103"/>
  <c r="C145" i="103" s="1"/>
  <c r="D145" i="103" s="1"/>
  <c r="H15" i="103"/>
  <c r="C144" i="103" s="1"/>
  <c r="D144" i="103" s="1"/>
  <c r="C21" i="29"/>
  <c r="D14" i="59" s="1"/>
  <c r="C22" i="29"/>
  <c r="D15" i="59" s="1"/>
  <c r="C143" i="103" l="1"/>
  <c r="C135" i="103"/>
  <c r="D135" i="103" s="1"/>
  <c r="C22" i="103"/>
  <c r="H22" i="103"/>
  <c r="C8" i="29"/>
  <c r="C31" i="29" l="1"/>
  <c r="E181" i="29" s="1"/>
  <c r="D3" i="59"/>
  <c r="D143" i="103"/>
  <c r="C155" i="103"/>
  <c r="C145" i="96"/>
  <c r="C143" i="96"/>
  <c r="C142" i="96"/>
  <c r="C87" i="96"/>
  <c r="D72" i="96"/>
  <c r="C71" i="96"/>
  <c r="C70" i="96"/>
  <c r="C69" i="96"/>
  <c r="C67" i="96"/>
  <c r="C65" i="96"/>
  <c r="C63" i="96"/>
  <c r="C51" i="96"/>
  <c r="C58" i="96" s="1"/>
  <c r="C35" i="96"/>
  <c r="C25" i="96"/>
  <c r="C16" i="96"/>
  <c r="C12" i="96"/>
  <c r="C10" i="96"/>
  <c r="C9" i="96"/>
  <c r="D155" i="103" l="1"/>
  <c r="C146" i="96"/>
  <c r="C91" i="96"/>
  <c r="C110" i="96"/>
  <c r="C116" i="96"/>
  <c r="D71" i="96"/>
  <c r="D68" i="96" s="1"/>
  <c r="C145" i="92" l="1"/>
  <c r="C143" i="92"/>
  <c r="C142" i="92"/>
  <c r="D72" i="92"/>
  <c r="C71" i="92"/>
  <c r="C69" i="92"/>
  <c r="C67" i="92"/>
  <c r="C63" i="92"/>
  <c r="C51" i="92"/>
  <c r="C35" i="92"/>
  <c r="C19" i="92"/>
  <c r="D28" i="92" s="1"/>
  <c r="D34" i="92" s="1"/>
  <c r="C12" i="92"/>
  <c r="C10" i="92"/>
  <c r="C9" i="92"/>
  <c r="C87" i="92"/>
  <c r="C70" i="92"/>
  <c r="C65" i="92"/>
  <c r="C58" i="92"/>
  <c r="C25" i="92"/>
  <c r="C16" i="92"/>
  <c r="C145" i="91"/>
  <c r="C143" i="91"/>
  <c r="C142" i="91"/>
  <c r="C87" i="91"/>
  <c r="D72" i="91"/>
  <c r="C71" i="91"/>
  <c r="C70" i="91"/>
  <c r="C69" i="91"/>
  <c r="C67" i="91"/>
  <c r="C65" i="91"/>
  <c r="C63" i="91"/>
  <c r="C51" i="91"/>
  <c r="C58" i="91" s="1"/>
  <c r="C35" i="91"/>
  <c r="C25" i="91"/>
  <c r="C19" i="91"/>
  <c r="C20" i="91" s="1"/>
  <c r="C16" i="91"/>
  <c r="C12" i="91"/>
  <c r="C10" i="91"/>
  <c r="C9" i="91"/>
  <c r="C145" i="90"/>
  <c r="C143" i="90"/>
  <c r="C142" i="90"/>
  <c r="D72" i="90"/>
  <c r="C71" i="90"/>
  <c r="C69" i="90"/>
  <c r="C67" i="90"/>
  <c r="C63" i="90"/>
  <c r="C51" i="90"/>
  <c r="C58" i="90" s="1"/>
  <c r="C35" i="90"/>
  <c r="C19" i="90"/>
  <c r="C20" i="90" s="1"/>
  <c r="C12" i="90"/>
  <c r="C10" i="90"/>
  <c r="C9" i="90"/>
  <c r="C87" i="90"/>
  <c r="C70" i="90"/>
  <c r="C65" i="90"/>
  <c r="C25" i="90"/>
  <c r="C16" i="90"/>
  <c r="C145" i="89"/>
  <c r="C143" i="89"/>
  <c r="C142" i="89"/>
  <c r="C87" i="89"/>
  <c r="D72" i="89"/>
  <c r="C71" i="89"/>
  <c r="C70" i="89"/>
  <c r="C69" i="89"/>
  <c r="C67" i="89"/>
  <c r="C65" i="89"/>
  <c r="C63" i="89"/>
  <c r="C51" i="89"/>
  <c r="C58" i="89" s="1"/>
  <c r="C91" i="89" s="1"/>
  <c r="C35" i="89"/>
  <c r="C25" i="89"/>
  <c r="C19" i="89"/>
  <c r="D28" i="89" s="1"/>
  <c r="D34" i="89" s="1"/>
  <c r="C16" i="89"/>
  <c r="C12" i="89"/>
  <c r="C10" i="89"/>
  <c r="C9" i="89"/>
  <c r="C145" i="86"/>
  <c r="C143" i="86"/>
  <c r="C142" i="86"/>
  <c r="D72" i="86"/>
  <c r="C71" i="86"/>
  <c r="C69" i="86"/>
  <c r="C67" i="86"/>
  <c r="C63" i="86"/>
  <c r="C51" i="86"/>
  <c r="C58" i="86" s="1"/>
  <c r="C35" i="86"/>
  <c r="C19" i="86"/>
  <c r="D28" i="86" s="1"/>
  <c r="C12" i="86"/>
  <c r="C10" i="86"/>
  <c r="C9" i="86"/>
  <c r="C87" i="86"/>
  <c r="C70" i="86"/>
  <c r="C65" i="86"/>
  <c r="C25" i="86"/>
  <c r="C16" i="86"/>
  <c r="C145" i="85"/>
  <c r="C143" i="85"/>
  <c r="C142" i="85"/>
  <c r="C87" i="85"/>
  <c r="D72" i="85"/>
  <c r="C71" i="85"/>
  <c r="C70" i="85"/>
  <c r="C69" i="85"/>
  <c r="C67" i="85"/>
  <c r="C65" i="85"/>
  <c r="C63" i="85"/>
  <c r="C51" i="85"/>
  <c r="C58" i="85" s="1"/>
  <c r="C35" i="85"/>
  <c r="C25" i="85"/>
  <c r="C19" i="85"/>
  <c r="D28" i="85" s="1"/>
  <c r="D34" i="85" s="1"/>
  <c r="C16" i="85"/>
  <c r="C12" i="85"/>
  <c r="C10" i="85"/>
  <c r="C9" i="85"/>
  <c r="C145" i="83"/>
  <c r="C143" i="83"/>
  <c r="C142" i="83"/>
  <c r="D72" i="83"/>
  <c r="C71" i="83"/>
  <c r="C69" i="83"/>
  <c r="C67" i="83"/>
  <c r="C63" i="83"/>
  <c r="C51" i="83"/>
  <c r="C58" i="83" s="1"/>
  <c r="C35" i="83"/>
  <c r="C19" i="83"/>
  <c r="D28" i="83" s="1"/>
  <c r="D66" i="83" s="1"/>
  <c r="C12" i="83"/>
  <c r="C10" i="83"/>
  <c r="C9" i="83"/>
  <c r="C87" i="83"/>
  <c r="C70" i="83"/>
  <c r="C65" i="83"/>
  <c r="C25" i="83"/>
  <c r="C16" i="83"/>
  <c r="C145" i="82"/>
  <c r="C143" i="82"/>
  <c r="C142" i="82"/>
  <c r="C87" i="82"/>
  <c r="D72" i="82"/>
  <c r="C71" i="82"/>
  <c r="C70" i="82"/>
  <c r="C69" i="82"/>
  <c r="C67" i="82"/>
  <c r="C65" i="82"/>
  <c r="C63" i="82"/>
  <c r="C51" i="82"/>
  <c r="C58" i="82" s="1"/>
  <c r="C35" i="82"/>
  <c r="C25" i="82"/>
  <c r="C19" i="82"/>
  <c r="D28" i="82" s="1"/>
  <c r="C16" i="82"/>
  <c r="C12" i="82"/>
  <c r="C10" i="82"/>
  <c r="C9" i="82"/>
  <c r="C22" i="91" l="1"/>
  <c r="C23" i="91"/>
  <c r="C20" i="85"/>
  <c r="C23" i="85" s="1"/>
  <c r="D71" i="86"/>
  <c r="D68" i="86" s="1"/>
  <c r="C146" i="91"/>
  <c r="C146" i="90"/>
  <c r="C146" i="92"/>
  <c r="D28" i="91"/>
  <c r="D34" i="91" s="1"/>
  <c r="C146" i="89"/>
  <c r="C20" i="92"/>
  <c r="C21" i="92" s="1"/>
  <c r="C91" i="92"/>
  <c r="C110" i="92"/>
  <c r="C116" i="92"/>
  <c r="D35" i="92"/>
  <c r="D29" i="92"/>
  <c r="D36" i="92"/>
  <c r="D31" i="92"/>
  <c r="D71" i="92"/>
  <c r="D68" i="92" s="1"/>
  <c r="D32" i="92"/>
  <c r="D66" i="92"/>
  <c r="D62" i="92" s="1"/>
  <c r="C91" i="91"/>
  <c r="C110" i="91"/>
  <c r="C116" i="91"/>
  <c r="D71" i="91"/>
  <c r="D68" i="91" s="1"/>
  <c r="C21" i="91"/>
  <c r="C20" i="89"/>
  <c r="C23" i="89" s="1"/>
  <c r="D28" i="90"/>
  <c r="D34" i="90" s="1"/>
  <c r="C146" i="85"/>
  <c r="C91" i="90"/>
  <c r="C116" i="90"/>
  <c r="C22" i="90"/>
  <c r="C23" i="90"/>
  <c r="D71" i="90"/>
  <c r="D68" i="90" s="1"/>
  <c r="C21" i="90"/>
  <c r="C110" i="90"/>
  <c r="D35" i="89"/>
  <c r="D31" i="89"/>
  <c r="D71" i="89"/>
  <c r="D68" i="89" s="1"/>
  <c r="D29" i="89"/>
  <c r="D36" i="89"/>
  <c r="D32" i="89"/>
  <c r="C110" i="89"/>
  <c r="D66" i="89"/>
  <c r="D62" i="89" s="1"/>
  <c r="C116" i="89"/>
  <c r="C20" i="83"/>
  <c r="C23" i="83" s="1"/>
  <c r="D35" i="85"/>
  <c r="C146" i="86"/>
  <c r="D36" i="86"/>
  <c r="D29" i="86"/>
  <c r="D35" i="86"/>
  <c r="D34" i="86"/>
  <c r="D66" i="86"/>
  <c r="D62" i="86" s="1"/>
  <c r="D32" i="86"/>
  <c r="D31" i="86"/>
  <c r="C116" i="86"/>
  <c r="C91" i="86"/>
  <c r="C110" i="86"/>
  <c r="C20" i="86"/>
  <c r="C91" i="85"/>
  <c r="C116" i="85"/>
  <c r="C110" i="85"/>
  <c r="D31" i="85"/>
  <c r="D71" i="85"/>
  <c r="D68" i="85" s="1"/>
  <c r="D32" i="85"/>
  <c r="D36" i="85"/>
  <c r="D66" i="85"/>
  <c r="D62" i="85" s="1"/>
  <c r="D29" i="85"/>
  <c r="D32" i="82"/>
  <c r="D34" i="82"/>
  <c r="D66" i="82"/>
  <c r="D62" i="82" s="1"/>
  <c r="C20" i="82"/>
  <c r="C146" i="82"/>
  <c r="D71" i="82"/>
  <c r="D68" i="82" s="1"/>
  <c r="C146" i="83"/>
  <c r="D62" i="83"/>
  <c r="D32" i="83"/>
  <c r="D34" i="83"/>
  <c r="C91" i="83"/>
  <c r="C116" i="83"/>
  <c r="C110" i="83"/>
  <c r="D35" i="83"/>
  <c r="D29" i="83"/>
  <c r="D36" i="83"/>
  <c r="D31" i="83"/>
  <c r="D71" i="83"/>
  <c r="D68" i="83" s="1"/>
  <c r="C110" i="82"/>
  <c r="C116" i="82"/>
  <c r="C91" i="82"/>
  <c r="D29" i="82"/>
  <c r="D36" i="82"/>
  <c r="D35" i="82"/>
  <c r="D31" i="82"/>
  <c r="F1586" i="80"/>
  <c r="D72" i="45"/>
  <c r="D29" i="91" l="1"/>
  <c r="D75" i="82"/>
  <c r="D81" i="82" s="1"/>
  <c r="C21" i="89"/>
  <c r="D32" i="90"/>
  <c r="C22" i="85"/>
  <c r="D31" i="91"/>
  <c r="C21" i="85"/>
  <c r="D35" i="91"/>
  <c r="D35" i="90"/>
  <c r="D66" i="91"/>
  <c r="D62" i="91" s="1"/>
  <c r="D75" i="91" s="1"/>
  <c r="D81" i="91" s="1"/>
  <c r="D36" i="91"/>
  <c r="D32" i="91"/>
  <c r="D75" i="92"/>
  <c r="D81" i="92" s="1"/>
  <c r="C22" i="92"/>
  <c r="C23" i="92"/>
  <c r="D33" i="92"/>
  <c r="D106" i="92" s="1"/>
  <c r="D33" i="89"/>
  <c r="D88" i="89" s="1"/>
  <c r="C22" i="89"/>
  <c r="D31" i="90"/>
  <c r="D75" i="85"/>
  <c r="D81" i="85" s="1"/>
  <c r="D29" i="90"/>
  <c r="C22" i="83"/>
  <c r="D66" i="90"/>
  <c r="D62" i="90" s="1"/>
  <c r="D75" i="90" s="1"/>
  <c r="D81" i="90" s="1"/>
  <c r="D36" i="90"/>
  <c r="D75" i="89"/>
  <c r="D81" i="89" s="1"/>
  <c r="C21" i="83"/>
  <c r="D33" i="83"/>
  <c r="D43" i="83" s="1"/>
  <c r="D33" i="85"/>
  <c r="D88" i="85" s="1"/>
  <c r="D75" i="86"/>
  <c r="D81" i="86" s="1"/>
  <c r="D33" i="86"/>
  <c r="D90" i="86" s="1"/>
  <c r="D91" i="86" s="1"/>
  <c r="C23" i="86"/>
  <c r="C22" i="86"/>
  <c r="C21" i="86"/>
  <c r="C21" i="82"/>
  <c r="C23" i="82"/>
  <c r="C22" i="82"/>
  <c r="D75" i="83"/>
  <c r="D81" i="83" s="1"/>
  <c r="D86" i="83"/>
  <c r="D92" i="83"/>
  <c r="D106" i="83"/>
  <c r="D33" i="82"/>
  <c r="G63" i="79"/>
  <c r="H63" i="79" s="1"/>
  <c r="D90" i="85" l="1"/>
  <c r="D91" i="85" s="1"/>
  <c r="D37" i="83"/>
  <c r="D88" i="83"/>
  <c r="D33" i="91"/>
  <c r="D90" i="91" s="1"/>
  <c r="D91" i="91" s="1"/>
  <c r="D33" i="90"/>
  <c r="D86" i="90" s="1"/>
  <c r="D87" i="90" s="1"/>
  <c r="D106" i="89"/>
  <c r="D43" i="89"/>
  <c r="D90" i="89"/>
  <c r="D91" i="89" s="1"/>
  <c r="D92" i="92"/>
  <c r="D37" i="92"/>
  <c r="D149" i="92" s="1"/>
  <c r="D88" i="86"/>
  <c r="D92" i="89"/>
  <c r="D86" i="92"/>
  <c r="D87" i="92" s="1"/>
  <c r="D86" i="86"/>
  <c r="D87" i="86" s="1"/>
  <c r="D88" i="92"/>
  <c r="D37" i="89"/>
  <c r="D149" i="89" s="1"/>
  <c r="D106" i="86"/>
  <c r="D86" i="89"/>
  <c r="D87" i="89" s="1"/>
  <c r="D90" i="92"/>
  <c r="D91" i="92" s="1"/>
  <c r="D90" i="90"/>
  <c r="D91" i="90" s="1"/>
  <c r="D44" i="83"/>
  <c r="D45" i="83" s="1"/>
  <c r="D43" i="92"/>
  <c r="D102" i="83"/>
  <c r="D37" i="85"/>
  <c r="D149" i="85" s="1"/>
  <c r="D44" i="92"/>
  <c r="D90" i="83"/>
  <c r="D91" i="83" s="1"/>
  <c r="D44" i="85"/>
  <c r="D102" i="92"/>
  <c r="D102" i="85"/>
  <c r="D44" i="89"/>
  <c r="D92" i="85"/>
  <c r="D44" i="86"/>
  <c r="D102" i="89"/>
  <c r="D102" i="86"/>
  <c r="D43" i="90"/>
  <c r="D86" i="85"/>
  <c r="D87" i="85" s="1"/>
  <c r="D43" i="86"/>
  <c r="D92" i="86"/>
  <c r="D43" i="85"/>
  <c r="D37" i="86"/>
  <c r="D149" i="86" s="1"/>
  <c r="D106" i="85"/>
  <c r="D149" i="83"/>
  <c r="D87" i="83"/>
  <c r="D102" i="82"/>
  <c r="D44" i="82"/>
  <c r="D43" i="82"/>
  <c r="D86" i="82"/>
  <c r="D37" i="82"/>
  <c r="D106" i="82"/>
  <c r="D90" i="82"/>
  <c r="D91" i="82" s="1"/>
  <c r="D88" i="82"/>
  <c r="D92" i="82"/>
  <c r="D60" i="79"/>
  <c r="G60" i="79"/>
  <c r="G57" i="79"/>
  <c r="H57" i="79" s="1"/>
  <c r="G54" i="79"/>
  <c r="H54" i="79" s="1"/>
  <c r="G51" i="79"/>
  <c r="H51" i="79" s="1"/>
  <c r="G48" i="79"/>
  <c r="H48" i="79" s="1"/>
  <c r="G40" i="79"/>
  <c r="D40" i="79"/>
  <c r="G41" i="79"/>
  <c r="H41" i="79" s="1"/>
  <c r="G44" i="79"/>
  <c r="H44" i="79" s="1"/>
  <c r="G45" i="79"/>
  <c r="H45" i="79" s="1"/>
  <c r="G37" i="79"/>
  <c r="H37" i="79" s="1"/>
  <c r="G33" i="79"/>
  <c r="H33" i="79" s="1"/>
  <c r="G34" i="79"/>
  <c r="H34" i="79" s="1"/>
  <c r="G27" i="79"/>
  <c r="H27" i="79" s="1"/>
  <c r="G24" i="79"/>
  <c r="D24" i="79"/>
  <c r="G18" i="79"/>
  <c r="H18" i="79" s="1"/>
  <c r="G15" i="79"/>
  <c r="H15" i="79" s="1"/>
  <c r="G9" i="79"/>
  <c r="H9" i="79" s="1"/>
  <c r="G6" i="79"/>
  <c r="H6" i="79" s="1"/>
  <c r="C16" i="45"/>
  <c r="C25" i="45"/>
  <c r="C19" i="45"/>
  <c r="C20" i="45" s="1"/>
  <c r="C35" i="45"/>
  <c r="C51" i="45"/>
  <c r="C58" i="45" s="1"/>
  <c r="C63" i="45"/>
  <c r="C65" i="45"/>
  <c r="C67" i="45"/>
  <c r="C69" i="45"/>
  <c r="C70" i="45"/>
  <c r="C71" i="45"/>
  <c r="C87" i="45"/>
  <c r="C142" i="45"/>
  <c r="C143" i="45"/>
  <c r="C145" i="45"/>
  <c r="D10" i="2"/>
  <c r="C19" i="96" s="1"/>
  <c r="C12" i="45"/>
  <c r="C10" i="45"/>
  <c r="C9" i="45"/>
  <c r="J2" i="22" a="1"/>
  <c r="J2" i="22" s="1"/>
  <c r="D5" i="21"/>
  <c r="D6" i="21"/>
  <c r="D4" i="21"/>
  <c r="G37" i="28"/>
  <c r="C137" i="103" s="1"/>
  <c r="D137" i="103" s="1"/>
  <c r="D106" i="90" l="1"/>
  <c r="D94" i="89"/>
  <c r="D151" i="89" s="1"/>
  <c r="D106" i="91"/>
  <c r="D45" i="92"/>
  <c r="D56" i="92" s="1"/>
  <c r="D92" i="90"/>
  <c r="H60" i="79"/>
  <c r="D102" i="91"/>
  <c r="D92" i="91"/>
  <c r="D86" i="91"/>
  <c r="D87" i="91" s="1"/>
  <c r="D37" i="91"/>
  <c r="D149" i="91" s="1"/>
  <c r="D44" i="91"/>
  <c r="D88" i="91"/>
  <c r="D43" i="91"/>
  <c r="D45" i="91" s="1"/>
  <c r="D102" i="90"/>
  <c r="D88" i="90"/>
  <c r="D94" i="90" s="1"/>
  <c r="D151" i="90" s="1"/>
  <c r="D37" i="90"/>
  <c r="D149" i="90" s="1"/>
  <c r="D44" i="90"/>
  <c r="D45" i="90" s="1"/>
  <c r="C138" i="103"/>
  <c r="D131" i="107"/>
  <c r="D135" i="107" s="1"/>
  <c r="H40" i="79"/>
  <c r="D94" i="92"/>
  <c r="D151" i="92" s="1"/>
  <c r="H24" i="79"/>
  <c r="D28" i="96"/>
  <c r="C20" i="96"/>
  <c r="D45" i="85"/>
  <c r="D55" i="85" s="1"/>
  <c r="D45" i="89"/>
  <c r="D50" i="89" s="1"/>
  <c r="D94" i="83"/>
  <c r="D151" i="83" s="1"/>
  <c r="D45" i="86"/>
  <c r="D56" i="86" s="1"/>
  <c r="D94" i="85"/>
  <c r="D151" i="85" s="1"/>
  <c r="D79" i="92"/>
  <c r="D50" i="92"/>
  <c r="D54" i="92"/>
  <c r="D51" i="92"/>
  <c r="D99" i="92"/>
  <c r="D49" i="92"/>
  <c r="D53" i="92"/>
  <c r="D55" i="92"/>
  <c r="D52" i="92"/>
  <c r="D57" i="92"/>
  <c r="D94" i="86"/>
  <c r="D151" i="86" s="1"/>
  <c r="D131" i="86"/>
  <c r="D153" i="86" s="1"/>
  <c r="D131" i="85"/>
  <c r="D153" i="85" s="1"/>
  <c r="C116" i="45"/>
  <c r="C91" i="45"/>
  <c r="D45" i="82"/>
  <c r="D131" i="83"/>
  <c r="D153" i="83" s="1"/>
  <c r="D131" i="82"/>
  <c r="D153" i="82" s="1"/>
  <c r="D79" i="83"/>
  <c r="D50" i="83"/>
  <c r="D51" i="83"/>
  <c r="D55" i="83"/>
  <c r="D99" i="83"/>
  <c r="D52" i="83"/>
  <c r="D53" i="83"/>
  <c r="D57" i="83"/>
  <c r="D54" i="83"/>
  <c r="D56" i="83"/>
  <c r="D49" i="83"/>
  <c r="D149" i="82"/>
  <c r="D87" i="82"/>
  <c r="D94" i="82" s="1"/>
  <c r="D151" i="82" s="1"/>
  <c r="C110" i="45"/>
  <c r="C146" i="45"/>
  <c r="D71" i="45"/>
  <c r="D68" i="45" s="1"/>
  <c r="C21" i="45"/>
  <c r="C23" i="45"/>
  <c r="C22" i="45"/>
  <c r="D28" i="45"/>
  <c r="D94" i="91" l="1"/>
  <c r="D151" i="91" s="1"/>
  <c r="D131" i="89"/>
  <c r="D153" i="89" s="1"/>
  <c r="D131" i="45"/>
  <c r="D153" i="45" s="1"/>
  <c r="D131" i="90"/>
  <c r="D153" i="90" s="1"/>
  <c r="D131" i="91"/>
  <c r="D153" i="91" s="1"/>
  <c r="D153" i="107"/>
  <c r="D154" i="107" s="1"/>
  <c r="D131" i="106"/>
  <c r="D131" i="105"/>
  <c r="D131" i="92"/>
  <c r="D153" i="92" s="1"/>
  <c r="D131" i="96"/>
  <c r="D153" i="96" s="1"/>
  <c r="D131" i="104"/>
  <c r="D51" i="90"/>
  <c r="D79" i="90"/>
  <c r="D131" i="101"/>
  <c r="D131" i="100"/>
  <c r="D138" i="103"/>
  <c r="D54" i="90"/>
  <c r="D57" i="85"/>
  <c r="D99" i="85"/>
  <c r="D108" i="85" s="1"/>
  <c r="D105" i="85"/>
  <c r="D103" i="85"/>
  <c r="D49" i="85"/>
  <c r="D51" i="89"/>
  <c r="D56" i="85"/>
  <c r="D56" i="89"/>
  <c r="D79" i="85"/>
  <c r="D52" i="85"/>
  <c r="D55" i="89"/>
  <c r="D57" i="90"/>
  <c r="D53" i="89"/>
  <c r="D54" i="89"/>
  <c r="D51" i="85"/>
  <c r="C23" i="96"/>
  <c r="C21" i="96"/>
  <c r="C22" i="96"/>
  <c r="D57" i="89"/>
  <c r="D34" i="96"/>
  <c r="D66" i="96"/>
  <c r="D62" i="96" s="1"/>
  <c r="D75" i="96" s="1"/>
  <c r="D81" i="96" s="1"/>
  <c r="D32" i="96"/>
  <c r="D36" i="96"/>
  <c r="D31" i="96"/>
  <c r="D29" i="96"/>
  <c r="D35" i="96"/>
  <c r="D50" i="90"/>
  <c r="D55" i="90"/>
  <c r="D53" i="90"/>
  <c r="D52" i="89"/>
  <c r="D99" i="90"/>
  <c r="D108" i="90" s="1"/>
  <c r="D57" i="86"/>
  <c r="D79" i="86"/>
  <c r="D54" i="86"/>
  <c r="D79" i="91"/>
  <c r="D57" i="91"/>
  <c r="D52" i="91"/>
  <c r="D54" i="91"/>
  <c r="D55" i="91"/>
  <c r="D50" i="91"/>
  <c r="D49" i="91"/>
  <c r="D51" i="91"/>
  <c r="D53" i="91"/>
  <c r="D56" i="91"/>
  <c r="D99" i="91"/>
  <c r="D50" i="86"/>
  <c r="D53" i="85"/>
  <c r="D49" i="89"/>
  <c r="D79" i="89"/>
  <c r="D49" i="90"/>
  <c r="D54" i="85"/>
  <c r="D51" i="86"/>
  <c r="D50" i="85"/>
  <c r="D99" i="89"/>
  <c r="D105" i="89" s="1"/>
  <c r="D52" i="90"/>
  <c r="D56" i="90"/>
  <c r="D52" i="86"/>
  <c r="D49" i="86"/>
  <c r="D99" i="86"/>
  <c r="D108" i="86" s="1"/>
  <c r="D55" i="86"/>
  <c r="D53" i="86"/>
  <c r="D58" i="92"/>
  <c r="D80" i="92" s="1"/>
  <c r="D82" i="92" s="1"/>
  <c r="D105" i="92"/>
  <c r="D104" i="92"/>
  <c r="D103" i="92"/>
  <c r="D108" i="92"/>
  <c r="D107" i="92"/>
  <c r="D79" i="82"/>
  <c r="D99" i="82"/>
  <c r="D56" i="82"/>
  <c r="D49" i="82"/>
  <c r="D50" i="82"/>
  <c r="D57" i="82"/>
  <c r="D55" i="82"/>
  <c r="D54" i="82"/>
  <c r="D52" i="82"/>
  <c r="D51" i="82"/>
  <c r="D53" i="82"/>
  <c r="D105" i="83"/>
  <c r="D103" i="83"/>
  <c r="D104" i="83"/>
  <c r="D108" i="83"/>
  <c r="D107" i="83"/>
  <c r="D58" i="83"/>
  <c r="D80" i="83" s="1"/>
  <c r="D82" i="83" s="1"/>
  <c r="F181" i="29"/>
  <c r="D31" i="45"/>
  <c r="D32" i="45"/>
  <c r="D34" i="45"/>
  <c r="D36" i="45"/>
  <c r="D29" i="45"/>
  <c r="D66" i="45"/>
  <c r="D62" i="45" s="1"/>
  <c r="D75" i="45" s="1"/>
  <c r="D81" i="45" s="1"/>
  <c r="D35" i="45"/>
  <c r="D153" i="106" l="1"/>
  <c r="D154" i="106" s="1"/>
  <c r="D135" i="106"/>
  <c r="D137" i="107"/>
  <c r="D153" i="104"/>
  <c r="D154" i="104" s="1"/>
  <c r="D135" i="104"/>
  <c r="D153" i="105"/>
  <c r="D154" i="105" s="1"/>
  <c r="D135" i="105"/>
  <c r="D107" i="85"/>
  <c r="D109" i="85" s="1"/>
  <c r="D110" i="85" s="1"/>
  <c r="D111" i="85" s="1"/>
  <c r="D121" i="85" s="1"/>
  <c r="D104" i="85"/>
  <c r="D153" i="100"/>
  <c r="D154" i="100" s="1"/>
  <c r="D135" i="100"/>
  <c r="D153" i="101"/>
  <c r="D154" i="101" s="1"/>
  <c r="D135" i="101"/>
  <c r="D33" i="96"/>
  <c r="D86" i="96" s="1"/>
  <c r="D104" i="86"/>
  <c r="D103" i="86"/>
  <c r="D105" i="90"/>
  <c r="D108" i="89"/>
  <c r="D107" i="89"/>
  <c r="D103" i="90"/>
  <c r="D58" i="89"/>
  <c r="D80" i="89" s="1"/>
  <c r="D82" i="89" s="1"/>
  <c r="D150" i="89" s="1"/>
  <c r="D104" i="90"/>
  <c r="D107" i="90"/>
  <c r="D58" i="86"/>
  <c r="D80" i="86" s="1"/>
  <c r="D82" i="86" s="1"/>
  <c r="D150" i="86" s="1"/>
  <c r="D103" i="89"/>
  <c r="D104" i="89"/>
  <c r="D58" i="90"/>
  <c r="D80" i="90" s="1"/>
  <c r="D82" i="90" s="1"/>
  <c r="D150" i="90" s="1"/>
  <c r="D58" i="85"/>
  <c r="D80" i="85" s="1"/>
  <c r="D82" i="85" s="1"/>
  <c r="D150" i="85" s="1"/>
  <c r="D105" i="86"/>
  <c r="D107" i="86"/>
  <c r="D108" i="91"/>
  <c r="D107" i="91"/>
  <c r="D105" i="91"/>
  <c r="D104" i="91"/>
  <c r="D103" i="91"/>
  <c r="D58" i="91"/>
  <c r="D80" i="91" s="1"/>
  <c r="D82" i="91" s="1"/>
  <c r="D109" i="92"/>
  <c r="D110" i="92" s="1"/>
  <c r="D111" i="92" s="1"/>
  <c r="D121" i="92" s="1"/>
  <c r="D150" i="92"/>
  <c r="D115" i="92"/>
  <c r="D103" i="82"/>
  <c r="D107" i="82"/>
  <c r="D108" i="82"/>
  <c r="D105" i="82"/>
  <c r="D104" i="82"/>
  <c r="D58" i="82"/>
  <c r="D80" i="82" s="1"/>
  <c r="D82" i="82" s="1"/>
  <c r="D109" i="83"/>
  <c r="D150" i="83"/>
  <c r="D115" i="83"/>
  <c r="D33" i="45"/>
  <c r="D43" i="45" s="1"/>
  <c r="D88" i="96" l="1"/>
  <c r="F186" i="29"/>
  <c r="D106" i="96"/>
  <c r="D44" i="96"/>
  <c r="D43" i="96"/>
  <c r="D45" i="96" s="1"/>
  <c r="D102" i="96"/>
  <c r="D90" i="96"/>
  <c r="D91" i="96" s="1"/>
  <c r="D37" i="96"/>
  <c r="D149" i="96" s="1"/>
  <c r="D92" i="96"/>
  <c r="D137" i="104"/>
  <c r="D138" i="104" s="1"/>
  <c r="D137" i="105"/>
  <c r="D138" i="105"/>
  <c r="D140" i="105" s="1"/>
  <c r="D137" i="106"/>
  <c r="D138" i="106" s="1"/>
  <c r="D140" i="106" s="1"/>
  <c r="D138" i="107"/>
  <c r="D140" i="107" s="1"/>
  <c r="D115" i="89"/>
  <c r="D116" i="89" s="1"/>
  <c r="D117" i="89" s="1"/>
  <c r="D122" i="89" s="1"/>
  <c r="D115" i="86"/>
  <c r="D116" i="86" s="1"/>
  <c r="D117" i="86" s="1"/>
  <c r="D122" i="86" s="1"/>
  <c r="D137" i="100"/>
  <c r="D138" i="100" s="1"/>
  <c r="D140" i="100" s="1"/>
  <c r="D109" i="90"/>
  <c r="D110" i="90" s="1"/>
  <c r="D111" i="90" s="1"/>
  <c r="D121" i="90" s="1"/>
  <c r="D137" i="101"/>
  <c r="D138" i="101" s="1"/>
  <c r="D140" i="101" s="1"/>
  <c r="D109" i="86"/>
  <c r="D110" i="86" s="1"/>
  <c r="D111" i="86" s="1"/>
  <c r="D121" i="86" s="1"/>
  <c r="D109" i="91"/>
  <c r="D110" i="91" s="1"/>
  <c r="D111" i="91" s="1"/>
  <c r="D121" i="91" s="1"/>
  <c r="D109" i="89"/>
  <c r="D110" i="89" s="1"/>
  <c r="D111" i="89" s="1"/>
  <c r="D121" i="89" s="1"/>
  <c r="D115" i="85"/>
  <c r="D116" i="85" s="1"/>
  <c r="D117" i="85" s="1"/>
  <c r="D122" i="85" s="1"/>
  <c r="D123" i="85" s="1"/>
  <c r="D135" i="85" s="1"/>
  <c r="D115" i="90"/>
  <c r="D116" i="90" s="1"/>
  <c r="D117" i="90" s="1"/>
  <c r="D122" i="90" s="1"/>
  <c r="D87" i="96"/>
  <c r="D150" i="91"/>
  <c r="D115" i="91"/>
  <c r="D116" i="91" s="1"/>
  <c r="D117" i="91" s="1"/>
  <c r="D122" i="91" s="1"/>
  <c r="D116" i="92"/>
  <c r="D117" i="92" s="1"/>
  <c r="D122" i="92" s="1"/>
  <c r="D123" i="92" s="1"/>
  <c r="D44" i="45"/>
  <c r="D45" i="45" s="1"/>
  <c r="D106" i="45"/>
  <c r="D109" i="82"/>
  <c r="D110" i="82" s="1"/>
  <c r="D111" i="82" s="1"/>
  <c r="D121" i="82" s="1"/>
  <c r="D92" i="45"/>
  <c r="D86" i="45"/>
  <c r="D87" i="45" s="1"/>
  <c r="D90" i="45"/>
  <c r="D91" i="45" s="1"/>
  <c r="D37" i="45"/>
  <c r="D149" i="45" s="1"/>
  <c r="D150" i="82"/>
  <c r="D115" i="82"/>
  <c r="D116" i="82" s="1"/>
  <c r="D117" i="82" s="1"/>
  <c r="D122" i="82" s="1"/>
  <c r="D116" i="83"/>
  <c r="D117" i="83" s="1"/>
  <c r="D122" i="83" s="1"/>
  <c r="D110" i="83"/>
  <c r="D111" i="83" s="1"/>
  <c r="D121" i="83" s="1"/>
  <c r="D88" i="45"/>
  <c r="D102" i="45"/>
  <c r="D123" i="89" l="1"/>
  <c r="D140" i="104"/>
  <c r="D145" i="104" s="1"/>
  <c r="D123" i="86"/>
  <c r="D123" i="91"/>
  <c r="D135" i="91" s="1"/>
  <c r="D137" i="91" s="1"/>
  <c r="D94" i="96"/>
  <c r="D151" i="96" s="1"/>
  <c r="D143" i="106"/>
  <c r="D144" i="106"/>
  <c r="D145" i="106"/>
  <c r="D142" i="106"/>
  <c r="D144" i="105"/>
  <c r="D143" i="105"/>
  <c r="D145" i="105"/>
  <c r="D142" i="105"/>
  <c r="D145" i="107"/>
  <c r="D143" i="107"/>
  <c r="D144" i="107"/>
  <c r="D142" i="107"/>
  <c r="D152" i="86"/>
  <c r="D154" i="86" s="1"/>
  <c r="D135" i="86"/>
  <c r="D137" i="86" s="1"/>
  <c r="D138" i="86" s="1"/>
  <c r="D140" i="86" s="1"/>
  <c r="D144" i="101"/>
  <c r="D142" i="101"/>
  <c r="D145" i="101"/>
  <c r="D143" i="101"/>
  <c r="D152" i="85"/>
  <c r="D154" i="85" s="1"/>
  <c r="D145" i="100"/>
  <c r="D144" i="100"/>
  <c r="D143" i="100"/>
  <c r="D142" i="100"/>
  <c r="D79" i="96"/>
  <c r="D99" i="96"/>
  <c r="D50" i="96"/>
  <c r="D57" i="96"/>
  <c r="D56" i="96"/>
  <c r="D51" i="96"/>
  <c r="D54" i="96"/>
  <c r="D55" i="96"/>
  <c r="D49" i="96"/>
  <c r="D53" i="96"/>
  <c r="D52" i="96"/>
  <c r="D152" i="92"/>
  <c r="D154" i="92" s="1"/>
  <c r="D135" i="92"/>
  <c r="D123" i="82"/>
  <c r="D123" i="90"/>
  <c r="D152" i="90" s="1"/>
  <c r="D154" i="90" s="1"/>
  <c r="D152" i="89"/>
  <c r="D154" i="89" s="1"/>
  <c r="D135" i="89"/>
  <c r="D137" i="85"/>
  <c r="D123" i="83"/>
  <c r="D94" i="45"/>
  <c r="D151" i="45" s="1"/>
  <c r="D79" i="45"/>
  <c r="D51" i="45"/>
  <c r="D50" i="45"/>
  <c r="D55" i="45"/>
  <c r="D52" i="45"/>
  <c r="D99" i="45"/>
  <c r="D49" i="45"/>
  <c r="D53" i="45"/>
  <c r="D56" i="45"/>
  <c r="D54" i="45"/>
  <c r="D57" i="45"/>
  <c r="D142" i="104" l="1"/>
  <c r="D152" i="91"/>
  <c r="D154" i="91" s="1"/>
  <c r="D144" i="104"/>
  <c r="D143" i="104"/>
  <c r="D146" i="106"/>
  <c r="D155" i="106" s="1"/>
  <c r="D156" i="106" s="1"/>
  <c r="D165" i="106" s="1"/>
  <c r="D146" i="101"/>
  <c r="D155" i="101" s="1"/>
  <c r="D156" i="101" s="1"/>
  <c r="D165" i="101" s="1"/>
  <c r="D146" i="104"/>
  <c r="D155" i="104" s="1"/>
  <c r="D156" i="104" s="1"/>
  <c r="D165" i="104" s="1"/>
  <c r="D146" i="105"/>
  <c r="D155" i="105" s="1"/>
  <c r="D156" i="105" s="1"/>
  <c r="D165" i="105" s="1"/>
  <c r="D146" i="107"/>
  <c r="D155" i="107" s="1"/>
  <c r="D156" i="107" s="1"/>
  <c r="D162" i="107" s="1"/>
  <c r="D146" i="100"/>
  <c r="D155" i="100" s="1"/>
  <c r="D156" i="100" s="1"/>
  <c r="D165" i="100" s="1"/>
  <c r="D58" i="96"/>
  <c r="D80" i="96" s="1"/>
  <c r="D82" i="96" s="1"/>
  <c r="D105" i="96"/>
  <c r="D108" i="96"/>
  <c r="D103" i="96"/>
  <c r="D104" i="96"/>
  <c r="D107" i="96"/>
  <c r="D137" i="92"/>
  <c r="D138" i="91"/>
  <c r="D140" i="91" s="1"/>
  <c r="D152" i="82"/>
  <c r="D154" i="82" s="1"/>
  <c r="D135" i="82"/>
  <c r="D137" i="82" s="1"/>
  <c r="D138" i="82" s="1"/>
  <c r="D140" i="82" s="1"/>
  <c r="D145" i="82" s="1"/>
  <c r="D135" i="90"/>
  <c r="D137" i="90" s="1"/>
  <c r="D137" i="89"/>
  <c r="D138" i="89" s="1"/>
  <c r="D140" i="89" s="1"/>
  <c r="D144" i="86"/>
  <c r="D143" i="86"/>
  <c r="D142" i="86"/>
  <c r="D145" i="86"/>
  <c r="D138" i="85"/>
  <c r="D140" i="85" s="1"/>
  <c r="D152" i="83"/>
  <c r="D154" i="83" s="1"/>
  <c r="D135" i="83"/>
  <c r="D105" i="45"/>
  <c r="D108" i="45"/>
  <c r="D103" i="45"/>
  <c r="D104" i="45"/>
  <c r="D107" i="45"/>
  <c r="D58" i="45"/>
  <c r="D80" i="45" s="1"/>
  <c r="D82" i="45" s="1"/>
  <c r="D160" i="101" l="1"/>
  <c r="D162" i="106"/>
  <c r="D160" i="106"/>
  <c r="D162" i="101"/>
  <c r="D160" i="105"/>
  <c r="D162" i="105"/>
  <c r="D162" i="104"/>
  <c r="D160" i="104"/>
  <c r="D165" i="107"/>
  <c r="D160" i="107"/>
  <c r="D162" i="100"/>
  <c r="D160" i="100"/>
  <c r="D109" i="96"/>
  <c r="D110" i="96" s="1"/>
  <c r="D111" i="96" s="1"/>
  <c r="D121" i="96" s="1"/>
  <c r="D115" i="96"/>
  <c r="D116" i="96" s="1"/>
  <c r="D117" i="96" s="1"/>
  <c r="D122" i="96" s="1"/>
  <c r="D150" i="96"/>
  <c r="D142" i="82"/>
  <c r="D143" i="82"/>
  <c r="D144" i="82"/>
  <c r="D138" i="92"/>
  <c r="D140" i="92" s="1"/>
  <c r="D143" i="91"/>
  <c r="D142" i="91"/>
  <c r="D145" i="91"/>
  <c r="D144" i="91"/>
  <c r="D138" i="90"/>
  <c r="D140" i="90" s="1"/>
  <c r="D143" i="90" s="1"/>
  <c r="D143" i="89"/>
  <c r="D142" i="89"/>
  <c r="D144" i="89"/>
  <c r="D145" i="89"/>
  <c r="D146" i="86"/>
  <c r="D155" i="86" s="1"/>
  <c r="D156" i="86" s="1"/>
  <c r="D165" i="86" s="1"/>
  <c r="D143" i="85"/>
  <c r="D142" i="85"/>
  <c r="D144" i="85"/>
  <c r="D145" i="85"/>
  <c r="D137" i="83"/>
  <c r="D150" i="45"/>
  <c r="D115" i="45"/>
  <c r="D109" i="45"/>
  <c r="D30" i="29" a="1"/>
  <c r="H5" i="28" a="1"/>
  <c r="H24" i="28" a="1"/>
  <c r="H15" i="28" a="1"/>
  <c r="H8" i="28" a="1"/>
  <c r="H33" i="28" a="1"/>
  <c r="D142" i="29" a="1"/>
  <c r="D27" i="29" a="1"/>
  <c r="H32" i="28" a="1"/>
  <c r="H34" i="28" a="1"/>
  <c r="H6" i="28" a="1"/>
  <c r="F60" i="79"/>
  <c r="F27" i="79"/>
  <c r="D28" i="29" a="1"/>
  <c r="F18" i="79"/>
  <c r="H14" i="28" a="1"/>
  <c r="F44" i="79"/>
  <c r="F33" i="79"/>
  <c r="D29" i="29" a="1"/>
  <c r="H9" i="28" a="1"/>
  <c r="F34" i="79"/>
  <c r="H7" i="28" a="1"/>
  <c r="H17" i="28" a="1"/>
  <c r="H19" i="28" a="1"/>
  <c r="H29" i="28" a="1"/>
  <c r="H23" i="28" a="1"/>
  <c r="H10" i="28" a="1"/>
  <c r="D142" i="29" l="1"/>
  <c r="E142" i="29" s="1"/>
  <c r="F142" i="29" s="1"/>
  <c r="F148" i="29" s="1"/>
  <c r="H10" i="28"/>
  <c r="I10" i="28" s="1"/>
  <c r="H34" i="28"/>
  <c r="I34" i="28" s="1"/>
  <c r="H33" i="28"/>
  <c r="I33" i="28" s="1"/>
  <c r="D30" i="29"/>
  <c r="E22" i="59" s="1"/>
  <c r="F22" i="59" s="1"/>
  <c r="G22" i="59" s="1"/>
  <c r="D29" i="29"/>
  <c r="H32" i="28"/>
  <c r="I32" i="28" s="1"/>
  <c r="H17" i="28"/>
  <c r="I17" i="28" s="1"/>
  <c r="D28" i="29"/>
  <c r="G145" i="103"/>
  <c r="H15" i="28"/>
  <c r="I15" i="28" s="1"/>
  <c r="H29" i="28"/>
  <c r="I29" i="28" s="1"/>
  <c r="H8" i="28"/>
  <c r="I8" i="28" s="1"/>
  <c r="H6" i="28"/>
  <c r="I6" i="28" s="1"/>
  <c r="H14" i="28"/>
  <c r="I14" i="28" s="1"/>
  <c r="H9" i="28"/>
  <c r="I9" i="28" s="1"/>
  <c r="H5" i="28"/>
  <c r="I5" i="28" s="1"/>
  <c r="H7" i="28"/>
  <c r="I7" i="28" s="1"/>
  <c r="H24" i="28"/>
  <c r="I24" i="28" s="1"/>
  <c r="H19" i="28"/>
  <c r="I19" i="28" s="1"/>
  <c r="H23" i="28"/>
  <c r="I23" i="28" s="1"/>
  <c r="K85" i="103"/>
  <c r="K129" i="103"/>
  <c r="K63" i="103"/>
  <c r="K42" i="103"/>
  <c r="K64" i="103"/>
  <c r="K130" i="103"/>
  <c r="K41" i="103"/>
  <c r="K84" i="103"/>
  <c r="D27" i="29"/>
  <c r="E19" i="59" s="1"/>
  <c r="F19" i="59" s="1"/>
  <c r="G19" i="59" s="1"/>
  <c r="D123" i="96"/>
  <c r="D152" i="96" s="1"/>
  <c r="D154" i="96" s="1"/>
  <c r="D146" i="82"/>
  <c r="D155" i="82" s="1"/>
  <c r="D156" i="82" s="1"/>
  <c r="D160" i="82" s="1"/>
  <c r="D143" i="92"/>
  <c r="D142" i="92"/>
  <c r="D144" i="92"/>
  <c r="D145" i="92"/>
  <c r="D146" i="91"/>
  <c r="D155" i="91" s="1"/>
  <c r="D156" i="91" s="1"/>
  <c r="D146" i="89"/>
  <c r="D155" i="89" s="1"/>
  <c r="D156" i="89" s="1"/>
  <c r="D165" i="89" s="1"/>
  <c r="D144" i="90"/>
  <c r="D145" i="90"/>
  <c r="D142" i="90"/>
  <c r="D162" i="86"/>
  <c r="D160" i="86"/>
  <c r="D146" i="85"/>
  <c r="D155" i="85" s="1"/>
  <c r="D156" i="85" s="1"/>
  <c r="D138" i="83"/>
  <c r="D110" i="45"/>
  <c r="D111" i="45" s="1"/>
  <c r="D121" i="45" s="1"/>
  <c r="D116" i="45"/>
  <c r="D117" i="45" s="1"/>
  <c r="D122" i="45" s="1"/>
  <c r="H31" i="28" a="1"/>
  <c r="H12" i="28" a="1"/>
  <c r="H22" i="28" a="1"/>
  <c r="H11" i="28" a="1"/>
  <c r="H16" i="28" a="1"/>
  <c r="H28" i="28" a="1"/>
  <c r="F9" i="79"/>
  <c r="F24" i="79"/>
  <c r="D26" i="29" a="1"/>
  <c r="H26" i="28" a="1"/>
  <c r="H18" i="28" a="1"/>
  <c r="E30" i="29" l="1"/>
  <c r="F30" i="29" s="1"/>
  <c r="E67" i="59"/>
  <c r="F67" i="59" s="1"/>
  <c r="G67" i="59" s="1"/>
  <c r="E148" i="29"/>
  <c r="E28" i="29"/>
  <c r="F28" i="29" s="1"/>
  <c r="E20" i="59"/>
  <c r="F20" i="59" s="1"/>
  <c r="G20" i="59" s="1"/>
  <c r="E29" i="29"/>
  <c r="F29" i="29" s="1"/>
  <c r="E21" i="59"/>
  <c r="F21" i="59" s="1"/>
  <c r="G21" i="59" s="1"/>
  <c r="G150" i="103"/>
  <c r="G144" i="103"/>
  <c r="D135" i="96"/>
  <c r="D137" i="96" s="1"/>
  <c r="D138" i="96" s="1"/>
  <c r="D140" i="96" s="1"/>
  <c r="D26" i="29"/>
  <c r="H16" i="28"/>
  <c r="I16" i="28" s="1"/>
  <c r="H18" i="28"/>
  <c r="I18" i="28" s="1"/>
  <c r="H22" i="28"/>
  <c r="I22" i="28" s="1"/>
  <c r="H12" i="28"/>
  <c r="I12" i="28" s="1"/>
  <c r="H11" i="28"/>
  <c r="I11" i="28" s="1"/>
  <c r="H31" i="28"/>
  <c r="I31" i="28" s="1"/>
  <c r="H26" i="28"/>
  <c r="I26" i="28" s="1"/>
  <c r="H28" i="28"/>
  <c r="I28" i="28" s="1"/>
  <c r="K53" i="103"/>
  <c r="K50" i="103"/>
  <c r="K56" i="103"/>
  <c r="K60" i="103"/>
  <c r="K52" i="103"/>
  <c r="K57" i="103"/>
  <c r="K55" i="103"/>
  <c r="K54" i="103"/>
  <c r="K51" i="103"/>
  <c r="K49" i="103"/>
  <c r="E27" i="29"/>
  <c r="K15" i="103"/>
  <c r="D160" i="89"/>
  <c r="D162" i="82"/>
  <c r="D165" i="82"/>
  <c r="D162" i="89"/>
  <c r="D146" i="92"/>
  <c r="D155" i="92" s="1"/>
  <c r="D156" i="92" s="1"/>
  <c r="D160" i="92" s="1"/>
  <c r="D165" i="91"/>
  <c r="D162" i="91"/>
  <c r="D160" i="91"/>
  <c r="D146" i="90"/>
  <c r="D155" i="90" s="1"/>
  <c r="D156" i="90" s="1"/>
  <c r="D165" i="90" s="1"/>
  <c r="D165" i="85"/>
  <c r="D162" i="85"/>
  <c r="D160" i="85"/>
  <c r="D140" i="83"/>
  <c r="D123" i="45"/>
  <c r="D152" i="45" s="1"/>
  <c r="D154" i="45" s="1"/>
  <c r="D55" i="29" a="1"/>
  <c r="H35" i="28" a="1"/>
  <c r="H36" i="28" a="1"/>
  <c r="D171" i="29" a="1"/>
  <c r="E26" i="29" l="1"/>
  <c r="F26" i="29" s="1"/>
  <c r="E18" i="59"/>
  <c r="F18" i="59" s="1"/>
  <c r="G18" i="59" s="1"/>
  <c r="D55" i="29"/>
  <c r="D171" i="29"/>
  <c r="H35" i="28"/>
  <c r="I35" i="28" s="1"/>
  <c r="G154" i="103"/>
  <c r="G151" i="103"/>
  <c r="K36" i="103"/>
  <c r="G148" i="103"/>
  <c r="H36" i="28"/>
  <c r="I36" i="28" s="1"/>
  <c r="K79" i="103"/>
  <c r="K58" i="103"/>
  <c r="F27" i="29"/>
  <c r="E158" i="29"/>
  <c r="F158" i="29" s="1"/>
  <c r="E159" i="29"/>
  <c r="F159" i="29" s="1"/>
  <c r="E155" i="29"/>
  <c r="F155" i="29" s="1"/>
  <c r="E160" i="29"/>
  <c r="F160" i="29" s="1"/>
  <c r="E157" i="29"/>
  <c r="F157" i="29" s="1"/>
  <c r="E156" i="29"/>
  <c r="F156" i="29" s="1"/>
  <c r="E125" i="29"/>
  <c r="F125" i="29" s="1"/>
  <c r="E154" i="29"/>
  <c r="E128" i="29"/>
  <c r="F128" i="29" s="1"/>
  <c r="E97" i="29"/>
  <c r="F97" i="29" s="1"/>
  <c r="E126" i="29"/>
  <c r="F126" i="29" s="1"/>
  <c r="E98" i="29"/>
  <c r="F98" i="29" s="1"/>
  <c r="E127" i="29"/>
  <c r="F127" i="29" s="1"/>
  <c r="E102" i="29"/>
  <c r="F102" i="29" s="1"/>
  <c r="E131" i="29"/>
  <c r="F131" i="29" s="1"/>
  <c r="E130" i="29"/>
  <c r="F130" i="29" s="1"/>
  <c r="E129" i="29"/>
  <c r="F129" i="29" s="1"/>
  <c r="E68" i="29"/>
  <c r="F68" i="29" s="1"/>
  <c r="E69" i="29"/>
  <c r="F69" i="29" s="1"/>
  <c r="E70" i="29"/>
  <c r="F70" i="29" s="1"/>
  <c r="D143" i="96"/>
  <c r="D144" i="96"/>
  <c r="D142" i="96"/>
  <c r="D145" i="96"/>
  <c r="D162" i="92"/>
  <c r="D165" i="92"/>
  <c r="D162" i="90"/>
  <c r="D160" i="90"/>
  <c r="D143" i="83"/>
  <c r="D142" i="83"/>
  <c r="D145" i="83"/>
  <c r="D144" i="83"/>
  <c r="D135" i="45"/>
  <c r="D137" i="45" s="1"/>
  <c r="D138" i="45" s="1"/>
  <c r="D140" i="45" s="1"/>
  <c r="E171" i="29" l="1"/>
  <c r="E177" i="29" s="1"/>
  <c r="E70" i="59"/>
  <c r="F70" i="59" s="1"/>
  <c r="G70" i="59" s="1"/>
  <c r="E55" i="29"/>
  <c r="F55" i="29" s="1"/>
  <c r="F61" i="29" s="1"/>
  <c r="E38" i="59"/>
  <c r="F38" i="59" s="1"/>
  <c r="G38" i="59" s="1"/>
  <c r="G153" i="103"/>
  <c r="K78" i="103"/>
  <c r="K75" i="103"/>
  <c r="K72" i="103"/>
  <c r="K70" i="103"/>
  <c r="K77" i="103"/>
  <c r="K74" i="103"/>
  <c r="K71" i="103"/>
  <c r="K76" i="103"/>
  <c r="K73" i="103"/>
  <c r="K81" i="103"/>
  <c r="F154" i="29"/>
  <c r="D146" i="96"/>
  <c r="D155" i="96" s="1"/>
  <c r="D156" i="96" s="1"/>
  <c r="D160" i="96" s="1"/>
  <c r="D146" i="83"/>
  <c r="D155" i="83" s="1"/>
  <c r="D156" i="83" s="1"/>
  <c r="I27" i="79"/>
  <c r="J28" i="79" s="1"/>
  <c r="D144" i="45"/>
  <c r="D142" i="45"/>
  <c r="D143" i="45"/>
  <c r="D145" i="45"/>
  <c r="F171" i="29" l="1"/>
  <c r="F177" i="29" s="1"/>
  <c r="E61" i="29"/>
  <c r="G135" i="103"/>
  <c r="G137" i="103"/>
  <c r="G136" i="103"/>
  <c r="D162" i="96"/>
  <c r="D165" i="96"/>
  <c r="D165" i="83"/>
  <c r="D162" i="83"/>
  <c r="D160" i="83"/>
  <c r="D146" i="45"/>
  <c r="D155" i="45" s="1"/>
  <c r="D156" i="45" s="1"/>
  <c r="D162" i="45" s="1"/>
  <c r="G147" i="103" l="1"/>
  <c r="K38" i="103"/>
  <c r="K32" i="103"/>
  <c r="K29" i="103"/>
  <c r="K33" i="103"/>
  <c r="K28" i="103"/>
  <c r="K30" i="103"/>
  <c r="K27" i="103"/>
  <c r="K35" i="103"/>
  <c r="K31" i="103"/>
  <c r="K34" i="103"/>
  <c r="L129" i="103"/>
  <c r="M129" i="103" s="1"/>
  <c r="H1393" i="80" s="1"/>
  <c r="L130" i="103"/>
  <c r="L126" i="103"/>
  <c r="L128" i="103"/>
  <c r="L123" i="103"/>
  <c r="L124" i="103"/>
  <c r="L121" i="103"/>
  <c r="L122" i="103"/>
  <c r="L119" i="103"/>
  <c r="L120" i="103"/>
  <c r="L117" i="103"/>
  <c r="L118" i="103"/>
  <c r="L115" i="103"/>
  <c r="L116" i="103"/>
  <c r="L108" i="103"/>
  <c r="L107" i="103"/>
  <c r="L104" i="103"/>
  <c r="L106" i="103"/>
  <c r="L101" i="103"/>
  <c r="L102" i="103"/>
  <c r="L99" i="103"/>
  <c r="L100" i="103"/>
  <c r="L97" i="103"/>
  <c r="L98" i="103"/>
  <c r="L95" i="103"/>
  <c r="L96" i="103"/>
  <c r="L93" i="103"/>
  <c r="L94" i="103"/>
  <c r="L84" i="103"/>
  <c r="M84" i="103" s="1"/>
  <c r="L85" i="103"/>
  <c r="L81" i="103"/>
  <c r="M81" i="103" s="1"/>
  <c r="L83" i="103"/>
  <c r="L77" i="103"/>
  <c r="L78" i="103"/>
  <c r="M78" i="103" s="1"/>
  <c r="L75" i="103"/>
  <c r="M75" i="103" s="1"/>
  <c r="L76" i="103"/>
  <c r="M76" i="103" s="1"/>
  <c r="L73" i="103"/>
  <c r="L74" i="103"/>
  <c r="M74" i="103" s="1"/>
  <c r="H1252" i="80" s="1"/>
  <c r="L71" i="103"/>
  <c r="M71" i="103" s="1"/>
  <c r="L72" i="103"/>
  <c r="L70" i="103"/>
  <c r="M70" i="103" s="1"/>
  <c r="L79" i="103"/>
  <c r="M79" i="103" s="1"/>
  <c r="L63" i="103"/>
  <c r="M63" i="103" s="1"/>
  <c r="L64" i="103"/>
  <c r="L60" i="103"/>
  <c r="M60" i="103" s="1"/>
  <c r="H1190" i="80" s="1"/>
  <c r="L62" i="103"/>
  <c r="L57" i="103"/>
  <c r="M57" i="103" s="1"/>
  <c r="L58" i="103"/>
  <c r="M58" i="103" s="1"/>
  <c r="L55" i="103"/>
  <c r="M55" i="103" s="1"/>
  <c r="L56" i="103"/>
  <c r="M56" i="103" s="1"/>
  <c r="L53" i="103"/>
  <c r="L54" i="103"/>
  <c r="M54" i="103" s="1"/>
  <c r="L51" i="103"/>
  <c r="L52" i="103"/>
  <c r="L49" i="103"/>
  <c r="M49" i="103" s="1"/>
  <c r="L50" i="103"/>
  <c r="M50" i="103" s="1"/>
  <c r="L41" i="103"/>
  <c r="L42" i="103"/>
  <c r="L38" i="103"/>
  <c r="L40" i="103"/>
  <c r="L35" i="103"/>
  <c r="L36" i="103"/>
  <c r="L33" i="103"/>
  <c r="L34" i="103"/>
  <c r="L31" i="103"/>
  <c r="L32" i="103"/>
  <c r="L29" i="103"/>
  <c r="L30" i="103"/>
  <c r="L27" i="103"/>
  <c r="L28" i="103"/>
  <c r="L20" i="103"/>
  <c r="L21" i="103"/>
  <c r="L17" i="103"/>
  <c r="L19" i="103"/>
  <c r="L14" i="103"/>
  <c r="L15" i="103"/>
  <c r="M15" i="103" s="1"/>
  <c r="L12" i="103"/>
  <c r="L13" i="103"/>
  <c r="L10" i="103"/>
  <c r="L11" i="103"/>
  <c r="L8" i="103"/>
  <c r="L9" i="103"/>
  <c r="L6" i="103"/>
  <c r="L7" i="103"/>
  <c r="G138" i="103"/>
  <c r="D165" i="45"/>
  <c r="D160" i="45"/>
  <c r="H21" i="28" a="1"/>
  <c r="H25" i="28" a="1"/>
  <c r="H4" i="28" a="1"/>
  <c r="H20" i="28" a="1"/>
  <c r="H13" i="28" a="1"/>
  <c r="H30" i="28" a="1"/>
  <c r="D25" i="29" a="1"/>
  <c r="H27" i="28" a="1"/>
  <c r="H1153" i="80" l="1"/>
  <c r="H1146" i="80"/>
  <c r="H1139" i="80"/>
  <c r="H1166" i="80"/>
  <c r="H1179" i="80"/>
  <c r="H1160" i="80"/>
  <c r="H1173" i="80"/>
  <c r="H1186" i="80"/>
  <c r="H1232" i="80"/>
  <c r="H1296" i="80"/>
  <c r="H1261" i="80"/>
  <c r="H1244" i="80"/>
  <c r="H1314" i="80"/>
  <c r="H1367" i="80"/>
  <c r="H1254" i="80"/>
  <c r="H1282" i="80"/>
  <c r="H1356" i="80"/>
  <c r="H1275" i="80"/>
  <c r="H1349" i="80"/>
  <c r="H1302" i="80"/>
  <c r="H1374" i="80"/>
  <c r="H1287" i="80"/>
  <c r="H1312" i="80"/>
  <c r="H1328" i="80"/>
  <c r="H1336" i="80"/>
  <c r="H1280" i="80"/>
  <c r="H1353" i="80"/>
  <c r="H1361" i="80"/>
  <c r="H1377" i="80"/>
  <c r="H1272" i="80"/>
  <c r="H1307" i="80"/>
  <c r="H1323" i="80"/>
  <c r="H1339" i="80"/>
  <c r="H1347" i="80"/>
  <c r="H1300" i="80"/>
  <c r="H1332" i="80"/>
  <c r="H1372" i="80"/>
  <c r="H1266" i="80"/>
  <c r="H1293" i="80"/>
  <c r="H1317" i="80"/>
  <c r="H1365" i="80"/>
  <c r="H1249" i="80"/>
  <c r="H1342" i="80"/>
  <c r="H1259" i="80"/>
  <c r="H1177" i="80"/>
  <c r="H1170" i="80"/>
  <c r="H1150" i="80"/>
  <c r="H1143" i="80"/>
  <c r="H1183" i="80"/>
  <c r="H1198" i="80"/>
  <c r="H1226" i="80"/>
  <c r="H1157" i="80"/>
  <c r="H1218" i="80"/>
  <c r="H1236" i="80"/>
  <c r="H1192" i="80"/>
  <c r="H1210" i="80"/>
  <c r="H1230" i="80"/>
  <c r="H1240" i="80"/>
  <c r="H1164" i="80"/>
  <c r="H1195" i="80"/>
  <c r="H1204" i="80"/>
  <c r="H1222" i="80"/>
  <c r="H1243" i="80"/>
  <c r="H1329" i="80"/>
  <c r="H1253" i="80"/>
  <c r="H1281" i="80"/>
  <c r="H1355" i="80"/>
  <c r="H1274" i="80"/>
  <c r="H1308" i="80"/>
  <c r="H1325" i="80"/>
  <c r="H1333" i="80"/>
  <c r="H1267" i="80"/>
  <c r="H1295" i="80"/>
  <c r="H1319" i="80"/>
  <c r="H1214" i="80"/>
  <c r="H1227" i="80"/>
  <c r="H1263" i="80"/>
  <c r="H1269" i="80"/>
  <c r="H1304" i="80"/>
  <c r="H1344" i="80"/>
  <c r="H1297" i="80"/>
  <c r="H1321" i="80"/>
  <c r="H1369" i="80"/>
  <c r="H1351" i="80"/>
  <c r="H1290" i="80"/>
  <c r="H1330" i="80"/>
  <c r="H1315" i="80"/>
  <c r="H1363" i="80"/>
  <c r="H1246" i="80"/>
  <c r="H1256" i="80"/>
  <c r="H1284" i="80"/>
  <c r="H1309" i="80"/>
  <c r="H1326" i="80"/>
  <c r="H1334" i="80"/>
  <c r="H1358" i="80"/>
  <c r="H1277" i="80"/>
  <c r="H1375" i="80"/>
  <c r="H1255" i="80"/>
  <c r="H1320" i="80"/>
  <c r="H1368" i="80"/>
  <c r="H1289" i="80"/>
  <c r="H1337" i="80"/>
  <c r="H1262" i="80"/>
  <c r="H1245" i="80"/>
  <c r="H1283" i="80"/>
  <c r="H1340" i="80"/>
  <c r="H1357" i="80"/>
  <c r="H1343" i="80"/>
  <c r="H1276" i="80"/>
  <c r="H1350" i="80"/>
  <c r="H1268" i="80"/>
  <c r="H1303" i="80"/>
  <c r="H1187" i="80"/>
  <c r="H1233" i="80"/>
  <c r="H1206" i="80"/>
  <c r="H1213" i="80"/>
  <c r="H1145" i="80"/>
  <c r="H1138" i="80"/>
  <c r="H1159" i="80"/>
  <c r="H1231" i="80"/>
  <c r="H1152" i="80"/>
  <c r="H1165" i="80"/>
  <c r="H1178" i="80"/>
  <c r="H1205" i="80"/>
  <c r="H1200" i="80"/>
  <c r="H1172" i="80"/>
  <c r="H1237" i="80"/>
  <c r="H1185" i="80"/>
  <c r="H1212" i="80"/>
  <c r="H1162" i="80"/>
  <c r="H1148" i="80"/>
  <c r="H1141" i="80"/>
  <c r="H1175" i="80"/>
  <c r="H1224" i="80"/>
  <c r="H1155" i="80"/>
  <c r="H1216" i="80"/>
  <c r="H1234" i="80"/>
  <c r="H1168" i="80"/>
  <c r="H1189" i="80"/>
  <c r="H1208" i="80"/>
  <c r="H1181" i="80"/>
  <c r="H1228" i="80"/>
  <c r="H1202" i="80"/>
  <c r="H1220" i="80"/>
  <c r="H1238" i="80"/>
  <c r="H1260" i="80"/>
  <c r="H1241" i="80"/>
  <c r="H1250" i="80"/>
  <c r="H1137" i="80"/>
  <c r="H1151" i="80"/>
  <c r="H1199" i="80"/>
  <c r="H1171" i="80"/>
  <c r="H1158" i="80"/>
  <c r="H1184" i="80"/>
  <c r="H1211" i="80"/>
  <c r="H1144" i="80"/>
  <c r="H1161" i="80"/>
  <c r="H1154" i="80"/>
  <c r="H1147" i="80"/>
  <c r="H1140" i="80"/>
  <c r="H1167" i="80"/>
  <c r="H1207" i="80"/>
  <c r="H1215" i="80"/>
  <c r="H1223" i="80"/>
  <c r="H1196" i="80"/>
  <c r="H1188" i="80"/>
  <c r="H1180" i="80"/>
  <c r="H1201" i="80"/>
  <c r="H1219" i="80"/>
  <c r="H1193" i="80"/>
  <c r="H1174" i="80"/>
  <c r="H1242" i="80"/>
  <c r="H1251" i="80"/>
  <c r="H1288" i="80"/>
  <c r="H1313" i="80"/>
  <c r="H1354" i="80"/>
  <c r="H1362" i="80"/>
  <c r="H1273" i="80"/>
  <c r="H1324" i="80"/>
  <c r="H1348" i="80"/>
  <c r="H1301" i="80"/>
  <c r="H1373" i="80"/>
  <c r="H1294" i="80"/>
  <c r="H1318" i="80"/>
  <c r="H1366" i="80"/>
  <c r="H1247" i="80"/>
  <c r="H1278" i="80"/>
  <c r="H1359" i="80"/>
  <c r="H1270" i="80"/>
  <c r="H1305" i="80"/>
  <c r="H1345" i="80"/>
  <c r="H1298" i="80"/>
  <c r="H1370" i="80"/>
  <c r="H1264" i="80"/>
  <c r="H1291" i="80"/>
  <c r="H1257" i="80"/>
  <c r="H1285" i="80"/>
  <c r="H1310" i="80"/>
  <c r="H12" i="80"/>
  <c r="H20" i="80"/>
  <c r="H28" i="80"/>
  <c r="H92" i="80"/>
  <c r="H124" i="80"/>
  <c r="H156" i="80"/>
  <c r="H292" i="80"/>
  <c r="H300" i="80"/>
  <c r="H372" i="80"/>
  <c r="H388" i="80"/>
  <c r="H420" i="80"/>
  <c r="H460" i="80"/>
  <c r="H556" i="80"/>
  <c r="H45" i="80"/>
  <c r="H117" i="80"/>
  <c r="H149" i="80"/>
  <c r="H245" i="80"/>
  <c r="H253" i="80"/>
  <c r="H309" i="80"/>
  <c r="H317" i="80"/>
  <c r="H325" i="80"/>
  <c r="H381" i="80"/>
  <c r="H477" i="80"/>
  <c r="H509" i="80"/>
  <c r="H110" i="80"/>
  <c r="H190" i="80"/>
  <c r="H198" i="80"/>
  <c r="H206" i="80"/>
  <c r="H238" i="80"/>
  <c r="H342" i="80"/>
  <c r="H414" i="80"/>
  <c r="H39" i="80"/>
  <c r="H103" i="80"/>
  <c r="H167" i="80"/>
  <c r="H175" i="80"/>
  <c r="H183" i="80"/>
  <c r="H231" i="80"/>
  <c r="H367" i="80"/>
  <c r="H471" i="80"/>
  <c r="H503" i="80"/>
  <c r="H216" i="80"/>
  <c r="H224" i="80"/>
  <c r="H336" i="80"/>
  <c r="H520" i="80"/>
  <c r="H528" i="80"/>
  <c r="H129" i="80"/>
  <c r="H161" i="80"/>
  <c r="H353" i="80"/>
  <c r="H361" i="80"/>
  <c r="H433" i="80"/>
  <c r="H465" i="80"/>
  <c r="H58" i="80"/>
  <c r="H98" i="80"/>
  <c r="H210" i="80"/>
  <c r="H266" i="80"/>
  <c r="H274" i="80"/>
  <c r="H378" i="80"/>
  <c r="H426" i="80"/>
  <c r="H498" i="80"/>
  <c r="H514" i="80"/>
  <c r="H538" i="80"/>
  <c r="H75" i="80"/>
  <c r="H139" i="80"/>
  <c r="H395" i="80"/>
  <c r="H616" i="80"/>
  <c r="H635" i="80"/>
  <c r="H671" i="80"/>
  <c r="H680" i="80"/>
  <c r="H729" i="80"/>
  <c r="H753" i="80"/>
  <c r="H785" i="80"/>
  <c r="H793" i="80"/>
  <c r="H801" i="80"/>
  <c r="H817" i="80"/>
  <c r="H825" i="80"/>
  <c r="H857" i="80"/>
  <c r="H961" i="80"/>
  <c r="H83" i="80"/>
  <c r="H403" i="80"/>
  <c r="H738" i="80"/>
  <c r="H746" i="80"/>
  <c r="H946" i="80"/>
  <c r="H1010" i="80"/>
  <c r="H283" i="80"/>
  <c r="H571" i="80"/>
  <c r="H600" i="80"/>
  <c r="H609" i="80"/>
  <c r="H628" i="80"/>
  <c r="H655" i="80"/>
  <c r="H899" i="80"/>
  <c r="H483" i="80"/>
  <c r="H592" i="80"/>
  <c r="H665" i="80"/>
  <c r="H700" i="80"/>
  <c r="H884" i="80"/>
  <c r="H908" i="80"/>
  <c r="H932" i="80"/>
  <c r="H491" i="80"/>
  <c r="H547" i="80"/>
  <c r="H563" i="80"/>
  <c r="H584" i="80"/>
  <c r="H805" i="80"/>
  <c r="H877" i="80"/>
  <c r="H917" i="80"/>
  <c r="H925" i="80"/>
  <c r="H51" i="80"/>
  <c r="H649" i="80"/>
  <c r="H870" i="80"/>
  <c r="H443" i="80"/>
  <c r="H687" i="80"/>
  <c r="H695" i="80"/>
  <c r="H807" i="80"/>
  <c r="H831" i="80"/>
  <c r="H67" i="80"/>
  <c r="H704" i="80"/>
  <c r="H768" i="80"/>
  <c r="H1400" i="80"/>
  <c r="H1440" i="80"/>
  <c r="H1448" i="80"/>
  <c r="H1560" i="80"/>
  <c r="H643" i="80"/>
  <c r="H712" i="80"/>
  <c r="H776" i="80"/>
  <c r="H840" i="80"/>
  <c r="H1417" i="80"/>
  <c r="H1425" i="80"/>
  <c r="H1433" i="80"/>
  <c r="H1457" i="80"/>
  <c r="H1481" i="80"/>
  <c r="H1545" i="80"/>
  <c r="H1567" i="80"/>
  <c r="H577" i="80"/>
  <c r="H720" i="80"/>
  <c r="H848" i="80"/>
  <c r="H976" i="80"/>
  <c r="H1410" i="80"/>
  <c r="H1530" i="80"/>
  <c r="H1554" i="80"/>
  <c r="H1471" i="80"/>
  <c r="H1535" i="80"/>
  <c r="H259" i="80"/>
  <c r="H1467" i="80"/>
  <c r="H1491" i="80"/>
  <c r="H1499" i="80"/>
  <c r="H1463" i="80"/>
  <c r="H864" i="80"/>
  <c r="H1380" i="80"/>
  <c r="H1476" i="80"/>
  <c r="H1508" i="80"/>
  <c r="H1516" i="80"/>
  <c r="H1524" i="80"/>
  <c r="H1540" i="80"/>
  <c r="H1383" i="80"/>
  <c r="H1000" i="80"/>
  <c r="H1389" i="80"/>
  <c r="H1397" i="80"/>
  <c r="H1453" i="80"/>
  <c r="H451" i="80"/>
  <c r="H1486" i="80"/>
  <c r="H1550" i="80"/>
  <c r="H760" i="80"/>
  <c r="D101" i="29"/>
  <c r="E101" i="29" s="1"/>
  <c r="F101" i="29" s="1"/>
  <c r="D77" i="29"/>
  <c r="E77" i="29" s="1"/>
  <c r="F77" i="29" s="1"/>
  <c r="D100" i="29"/>
  <c r="E58" i="59" s="1"/>
  <c r="F58" i="59" s="1"/>
  <c r="G58" i="59" s="1"/>
  <c r="D17" i="29"/>
  <c r="E12" i="59" s="1"/>
  <c r="F12" i="59" s="1"/>
  <c r="G12" i="59" s="1"/>
  <c r="D103" i="29"/>
  <c r="E103" i="29" s="1"/>
  <c r="F103" i="29" s="1"/>
  <c r="D167" i="29"/>
  <c r="E69" i="59" s="1"/>
  <c r="F69" i="59" s="1"/>
  <c r="G69" i="59" s="1"/>
  <c r="D104" i="29"/>
  <c r="E104" i="29" s="1"/>
  <c r="F104" i="29" s="1"/>
  <c r="D67" i="29"/>
  <c r="E40" i="59" s="1"/>
  <c r="F40" i="59" s="1"/>
  <c r="G40" i="59" s="1"/>
  <c r="D75" i="29"/>
  <c r="E48" i="59" s="1"/>
  <c r="F48" i="59" s="1"/>
  <c r="G48" i="59" s="1"/>
  <c r="D80" i="29"/>
  <c r="E80" i="29" s="1"/>
  <c r="F80" i="29" s="1"/>
  <c r="D72" i="29"/>
  <c r="E72" i="29" s="1"/>
  <c r="F72" i="29" s="1"/>
  <c r="D74" i="29"/>
  <c r="E74" i="29" s="1"/>
  <c r="F74" i="29" s="1"/>
  <c r="D96" i="29"/>
  <c r="E54" i="59" s="1"/>
  <c r="F54" i="59" s="1"/>
  <c r="G54" i="59" s="1"/>
  <c r="D106" i="29"/>
  <c r="E106" i="29" s="1"/>
  <c r="F106" i="29" s="1"/>
  <c r="D109" i="29"/>
  <c r="E65" i="59" s="1"/>
  <c r="F65" i="59" s="1"/>
  <c r="G65" i="59" s="1"/>
  <c r="D71" i="29"/>
  <c r="E71" i="29" s="1"/>
  <c r="F71" i="29" s="1"/>
  <c r="D73" i="29"/>
  <c r="E46" i="59" s="1"/>
  <c r="F46" i="59" s="1"/>
  <c r="G46" i="59" s="1"/>
  <c r="D99" i="29"/>
  <c r="E99" i="29" s="1"/>
  <c r="F99" i="29" s="1"/>
  <c r="G143" i="103"/>
  <c r="G155" i="103" s="1"/>
  <c r="D25" i="29"/>
  <c r="H25" i="28"/>
  <c r="I25" i="28" s="1"/>
  <c r="H4" i="28"/>
  <c r="I4" i="28" s="1"/>
  <c r="K128" i="103"/>
  <c r="K131" i="103" s="1"/>
  <c r="J43" i="103"/>
  <c r="K40" i="103"/>
  <c r="K43" i="103" s="1"/>
  <c r="H13" i="28"/>
  <c r="I13" i="28" s="1"/>
  <c r="K83" i="103"/>
  <c r="K86" i="103" s="1"/>
  <c r="H21" i="28"/>
  <c r="I21" i="28" s="1"/>
  <c r="H27" i="28"/>
  <c r="I27" i="28" s="1"/>
  <c r="K62" i="103"/>
  <c r="K65" i="103" s="1"/>
  <c r="H20" i="28"/>
  <c r="I20" i="28" s="1"/>
  <c r="H30" i="28"/>
  <c r="I30" i="28" s="1"/>
  <c r="M65" i="103"/>
  <c r="L131" i="103"/>
  <c r="L109" i="103"/>
  <c r="L86" i="103"/>
  <c r="M86" i="103"/>
  <c r="L65" i="103"/>
  <c r="L43" i="103"/>
  <c r="D95" i="29"/>
  <c r="E53" i="59" s="1"/>
  <c r="F53" i="59" s="1"/>
  <c r="G53" i="59" s="1"/>
  <c r="D66" i="29"/>
  <c r="E39" i="59" s="1"/>
  <c r="F39" i="59" s="1"/>
  <c r="G39" i="59" s="1"/>
  <c r="M41" i="103"/>
  <c r="M38" i="103"/>
  <c r="M36" i="103"/>
  <c r="M35" i="103"/>
  <c r="M34" i="103"/>
  <c r="H1092" i="80" s="1"/>
  <c r="M33" i="103"/>
  <c r="M32" i="103"/>
  <c r="M28" i="103"/>
  <c r="M27" i="103"/>
  <c r="K21" i="103"/>
  <c r="M21" i="103" s="1"/>
  <c r="K20" i="103"/>
  <c r="M20" i="103" s="1"/>
  <c r="K19" i="103"/>
  <c r="M19" i="103" s="1"/>
  <c r="K17" i="103"/>
  <c r="M17" i="103" s="1"/>
  <c r="K14" i="103"/>
  <c r="M14" i="103" s="1"/>
  <c r="K13" i="103"/>
  <c r="M13" i="103" s="1"/>
  <c r="K12" i="103"/>
  <c r="M12" i="103" s="1"/>
  <c r="K11" i="103"/>
  <c r="M11" i="103" s="1"/>
  <c r="K10" i="103"/>
  <c r="M10" i="103" s="1"/>
  <c r="K9" i="103"/>
  <c r="M9" i="103" s="1"/>
  <c r="H1395" i="80" s="1"/>
  <c r="K8" i="103"/>
  <c r="M8" i="103" s="1"/>
  <c r="K7" i="103"/>
  <c r="M7" i="103" s="1"/>
  <c r="K6" i="103"/>
  <c r="M6" i="103" s="1"/>
  <c r="L22" i="103"/>
  <c r="I24" i="79"/>
  <c r="J25" i="79" s="1"/>
  <c r="I18" i="79"/>
  <c r="J19" i="79" s="1"/>
  <c r="I44" i="79"/>
  <c r="I9" i="79"/>
  <c r="J10" i="79" s="1"/>
  <c r="I60" i="79"/>
  <c r="J61" i="79" s="1"/>
  <c r="E167" i="29" l="1"/>
  <c r="F167" i="29" s="1"/>
  <c r="E51" i="59"/>
  <c r="F51" i="59" s="1"/>
  <c r="G51" i="59" s="1"/>
  <c r="E109" i="29"/>
  <c r="F109" i="29" s="1"/>
  <c r="E62" i="59"/>
  <c r="F62" i="59" s="1"/>
  <c r="G62" i="59" s="1"/>
  <c r="E96" i="29"/>
  <c r="F96" i="29" s="1"/>
  <c r="E67" i="29"/>
  <c r="F67" i="29" s="1"/>
  <c r="E45" i="59"/>
  <c r="F45" i="59" s="1"/>
  <c r="G45" i="59" s="1"/>
  <c r="E61" i="59"/>
  <c r="F61" i="59" s="1"/>
  <c r="G61" i="59" s="1"/>
  <c r="E49" i="59"/>
  <c r="F49" i="59" s="1"/>
  <c r="G49" i="59" s="1"/>
  <c r="E47" i="59"/>
  <c r="F47" i="59" s="1"/>
  <c r="G47" i="59" s="1"/>
  <c r="E44" i="59"/>
  <c r="F44" i="59" s="1"/>
  <c r="G44" i="59" s="1"/>
  <c r="H351" i="80"/>
  <c r="H56" i="80"/>
  <c r="H360" i="80"/>
  <c r="H376" i="80"/>
  <c r="H464" i="80"/>
  <c r="H458" i="80"/>
  <c r="H945" i="80"/>
  <c r="H985" i="80"/>
  <c r="H950" i="80"/>
  <c r="H974" i="80"/>
  <c r="H315" i="80"/>
  <c r="H727" i="80"/>
  <c r="H815" i="80"/>
  <c r="H999" i="80"/>
  <c r="H960" i="80"/>
  <c r="H1480" i="80"/>
  <c r="H1490" i="80"/>
  <c r="H1475" i="80"/>
  <c r="H1485" i="80"/>
  <c r="H1470" i="80"/>
  <c r="H1017" i="80"/>
  <c r="H1026" i="80"/>
  <c r="H1075" i="80"/>
  <c r="H1083" i="80"/>
  <c r="H1047" i="80"/>
  <c r="H1119" i="80"/>
  <c r="E59" i="59"/>
  <c r="F59" i="59" s="1"/>
  <c r="G59" i="59" s="1"/>
  <c r="H380" i="80"/>
  <c r="H165" i="80"/>
  <c r="H469" i="80"/>
  <c r="H334" i="80"/>
  <c r="H350" i="80"/>
  <c r="H398" i="80"/>
  <c r="H526" i="80"/>
  <c r="H359" i="80"/>
  <c r="H375" i="80"/>
  <c r="H463" i="80"/>
  <c r="H328" i="80"/>
  <c r="H408" i="80"/>
  <c r="H424" i="80"/>
  <c r="H536" i="80"/>
  <c r="H97" i="80"/>
  <c r="H137" i="80"/>
  <c r="H281" i="80"/>
  <c r="H449" i="80"/>
  <c r="H457" i="80"/>
  <c r="H497" i="80"/>
  <c r="H513" i="80"/>
  <c r="H545" i="80"/>
  <c r="H18" i="80"/>
  <c r="H90" i="80"/>
  <c r="H258" i="80"/>
  <c r="H290" i="80"/>
  <c r="H370" i="80"/>
  <c r="H410" i="80"/>
  <c r="H554" i="80"/>
  <c r="H598" i="80"/>
  <c r="H607" i="80"/>
  <c r="H653" i="80"/>
  <c r="H937" i="80"/>
  <c r="H1009" i="80"/>
  <c r="H147" i="80"/>
  <c r="H663" i="80"/>
  <c r="H955" i="80"/>
  <c r="H971" i="80"/>
  <c r="H979" i="80"/>
  <c r="H419" i="80"/>
  <c r="H876" i="80"/>
  <c r="H988" i="80"/>
  <c r="H685" i="80"/>
  <c r="H693" i="80"/>
  <c r="H973" i="80"/>
  <c r="H307" i="80"/>
  <c r="H774" i="80"/>
  <c r="H814" i="80"/>
  <c r="H838" i="80"/>
  <c r="H862" i="80"/>
  <c r="H966" i="80"/>
  <c r="H998" i="80"/>
  <c r="H641" i="80"/>
  <c r="H678" i="80"/>
  <c r="H799" i="80"/>
  <c r="H823" i="80"/>
  <c r="H855" i="80"/>
  <c r="H959" i="80"/>
  <c r="H1408" i="80"/>
  <c r="H1544" i="80"/>
  <c r="H1553" i="80"/>
  <c r="H1431" i="80"/>
  <c r="H1415" i="80"/>
  <c r="H1514" i="80"/>
  <c r="H1423" i="80"/>
  <c r="H984" i="80"/>
  <c r="H1419" i="80"/>
  <c r="H323" i="80"/>
  <c r="H1461" i="80"/>
  <c r="H1566" i="80"/>
  <c r="H1105" i="80"/>
  <c r="H1018" i="80"/>
  <c r="H1098" i="80"/>
  <c r="H1027" i="80"/>
  <c r="H1091" i="80"/>
  <c r="H1131" i="80"/>
  <c r="H1076" i="80"/>
  <c r="H1084" i="80"/>
  <c r="H1055" i="80"/>
  <c r="H1063" i="80"/>
  <c r="H1127" i="80"/>
  <c r="H1040" i="80"/>
  <c r="H1048" i="80"/>
  <c r="H1112" i="80"/>
  <c r="H1120" i="80"/>
  <c r="H68" i="80"/>
  <c r="H84" i="80"/>
  <c r="H140" i="80"/>
  <c r="H260" i="80"/>
  <c r="H284" i="80"/>
  <c r="H21" i="80"/>
  <c r="H29" i="80"/>
  <c r="H293" i="80"/>
  <c r="H301" i="80"/>
  <c r="H389" i="80"/>
  <c r="H150" i="80"/>
  <c r="H246" i="80"/>
  <c r="H310" i="80"/>
  <c r="H199" i="80"/>
  <c r="H239" i="80"/>
  <c r="H343" i="80"/>
  <c r="H176" i="80"/>
  <c r="H232" i="80"/>
  <c r="H504" i="80"/>
  <c r="H217" i="80"/>
  <c r="H225" i="80"/>
  <c r="H521" i="80"/>
  <c r="H529" i="80"/>
  <c r="H130" i="80"/>
  <c r="H434" i="80"/>
  <c r="H610" i="80"/>
  <c r="H267" i="80"/>
  <c r="H761" i="80"/>
  <c r="H769" i="80"/>
  <c r="H777" i="80"/>
  <c r="H841" i="80"/>
  <c r="H849" i="80"/>
  <c r="H865" i="80"/>
  <c r="H672" i="80"/>
  <c r="H681" i="80"/>
  <c r="H730" i="80"/>
  <c r="H786" i="80"/>
  <c r="H794" i="80"/>
  <c r="H818" i="80"/>
  <c r="H826" i="80"/>
  <c r="H858" i="80"/>
  <c r="H962" i="80"/>
  <c r="H1011" i="80"/>
  <c r="H99" i="80"/>
  <c r="H601" i="80"/>
  <c r="H892" i="80"/>
  <c r="H900" i="80"/>
  <c r="H593" i="80"/>
  <c r="H885" i="80"/>
  <c r="H909" i="80"/>
  <c r="H878" i="80"/>
  <c r="H918" i="80"/>
  <c r="H926" i="80"/>
  <c r="H59" i="80"/>
  <c r="H871" i="80"/>
  <c r="H832" i="80"/>
  <c r="H1384" i="80"/>
  <c r="H968" i="80"/>
  <c r="H1401" i="80"/>
  <c r="H1449" i="80"/>
  <c r="H1418" i="80"/>
  <c r="H1434" i="80"/>
  <c r="H1411" i="80"/>
  <c r="H1500" i="80"/>
  <c r="H1517" i="80"/>
  <c r="H688" i="80"/>
  <c r="H515" i="80"/>
  <c r="H534" i="80"/>
  <c r="H135" i="80"/>
  <c r="H543" i="80"/>
  <c r="H552" i="80"/>
  <c r="H145" i="80"/>
  <c r="H114" i="80"/>
  <c r="H568" i="80"/>
  <c r="H589" i="80"/>
  <c r="H875" i="80"/>
  <c r="H923" i="80"/>
  <c r="H163" i="80"/>
  <c r="H652" i="80"/>
  <c r="H60" i="80"/>
  <c r="H76" i="80"/>
  <c r="H100" i="80"/>
  <c r="H268" i="80"/>
  <c r="H396" i="80"/>
  <c r="H404" i="80"/>
  <c r="H444" i="80"/>
  <c r="H452" i="80"/>
  <c r="H484" i="80"/>
  <c r="H492" i="80"/>
  <c r="H516" i="80"/>
  <c r="H548" i="80"/>
  <c r="H564" i="80"/>
  <c r="H572" i="80"/>
  <c r="H13" i="80"/>
  <c r="H69" i="80"/>
  <c r="H85" i="80"/>
  <c r="H93" i="80"/>
  <c r="H125" i="80"/>
  <c r="H141" i="80"/>
  <c r="H261" i="80"/>
  <c r="H285" i="80"/>
  <c r="H421" i="80"/>
  <c r="H22" i="80"/>
  <c r="H30" i="80"/>
  <c r="H46" i="80"/>
  <c r="H118" i="80"/>
  <c r="H254" i="80"/>
  <c r="H294" i="80"/>
  <c r="H302" i="80"/>
  <c r="H318" i="80"/>
  <c r="H326" i="80"/>
  <c r="H382" i="80"/>
  <c r="H390" i="80"/>
  <c r="H438" i="80"/>
  <c r="H478" i="80"/>
  <c r="H510" i="80"/>
  <c r="H111" i="80"/>
  <c r="H151" i="80"/>
  <c r="H191" i="80"/>
  <c r="H207" i="80"/>
  <c r="H247" i="80"/>
  <c r="H311" i="80"/>
  <c r="H415" i="80"/>
  <c r="H40" i="80"/>
  <c r="H104" i="80"/>
  <c r="H168" i="80"/>
  <c r="H184" i="80"/>
  <c r="H200" i="80"/>
  <c r="H240" i="80"/>
  <c r="H344" i="80"/>
  <c r="H472" i="80"/>
  <c r="H177" i="80"/>
  <c r="H233" i="80"/>
  <c r="H329" i="80"/>
  <c r="H337" i="80"/>
  <c r="H505" i="80"/>
  <c r="H34" i="80"/>
  <c r="H218" i="80"/>
  <c r="H226" i="80"/>
  <c r="H354" i="80"/>
  <c r="H362" i="80"/>
  <c r="H522" i="80"/>
  <c r="H530" i="80"/>
  <c r="H578" i="80"/>
  <c r="H594" i="80"/>
  <c r="H602" i="80"/>
  <c r="H650" i="80"/>
  <c r="H666" i="80"/>
  <c r="H682" i="80"/>
  <c r="H644" i="80"/>
  <c r="H689" i="80"/>
  <c r="H705" i="80"/>
  <c r="H713" i="80"/>
  <c r="H721" i="80"/>
  <c r="H833" i="80"/>
  <c r="H969" i="80"/>
  <c r="H977" i="80"/>
  <c r="H993" i="80"/>
  <c r="H1001" i="80"/>
  <c r="H211" i="80"/>
  <c r="H275" i="80"/>
  <c r="H617" i="80"/>
  <c r="H636" i="80"/>
  <c r="H754" i="80"/>
  <c r="H762" i="80"/>
  <c r="H770" i="80"/>
  <c r="H778" i="80"/>
  <c r="H842" i="80"/>
  <c r="H850" i="80"/>
  <c r="H866" i="80"/>
  <c r="H938" i="80"/>
  <c r="H539" i="80"/>
  <c r="H673" i="80"/>
  <c r="H731" i="80"/>
  <c r="H739" i="80"/>
  <c r="H747" i="80"/>
  <c r="H787" i="80"/>
  <c r="H795" i="80"/>
  <c r="H819" i="80"/>
  <c r="H827" i="80"/>
  <c r="H859" i="80"/>
  <c r="H947" i="80"/>
  <c r="H963" i="80"/>
  <c r="H611" i="80"/>
  <c r="H629" i="80"/>
  <c r="H708" i="80"/>
  <c r="H956" i="80"/>
  <c r="H980" i="80"/>
  <c r="H1004" i="80"/>
  <c r="H1012" i="80"/>
  <c r="H427" i="80"/>
  <c r="H657" i="80"/>
  <c r="H701" i="80"/>
  <c r="H893" i="80"/>
  <c r="H901" i="80"/>
  <c r="H933" i="80"/>
  <c r="H941" i="80"/>
  <c r="H989" i="80"/>
  <c r="H435" i="80"/>
  <c r="H499" i="80"/>
  <c r="H585" i="80"/>
  <c r="H622" i="80"/>
  <c r="H886" i="80"/>
  <c r="H910" i="80"/>
  <c r="H879" i="80"/>
  <c r="H919" i="80"/>
  <c r="H927" i="80"/>
  <c r="H951" i="80"/>
  <c r="H557" i="80"/>
  <c r="H1464" i="80"/>
  <c r="H1472" i="80"/>
  <c r="H1536" i="80"/>
  <c r="H1568" i="80"/>
  <c r="H1576" i="80"/>
  <c r="H1584" i="80"/>
  <c r="H1570" i="80"/>
  <c r="H1551" i="80"/>
  <c r="H131" i="80"/>
  <c r="H1385" i="80"/>
  <c r="H1441" i="80"/>
  <c r="H1561" i="80"/>
  <c r="H1487" i="80"/>
  <c r="H1402" i="80"/>
  <c r="H1426" i="80"/>
  <c r="H1450" i="80"/>
  <c r="H1458" i="80"/>
  <c r="H1482" i="80"/>
  <c r="H1546" i="80"/>
  <c r="H1578" i="80"/>
  <c r="H1435" i="80"/>
  <c r="H1531" i="80"/>
  <c r="H1555" i="80"/>
  <c r="H1563" i="80"/>
  <c r="H1404" i="80"/>
  <c r="H1412" i="80"/>
  <c r="H1420" i="80"/>
  <c r="H1468" i="80"/>
  <c r="H1492" i="80"/>
  <c r="H1572" i="80"/>
  <c r="H1580" i="80"/>
  <c r="H808" i="80"/>
  <c r="H872" i="80"/>
  <c r="H1477" i="80"/>
  <c r="H1501" i="80"/>
  <c r="H1509" i="80"/>
  <c r="H1525" i="80"/>
  <c r="H1541" i="80"/>
  <c r="H1557" i="80"/>
  <c r="H1390" i="80"/>
  <c r="H1398" i="80"/>
  <c r="H1454" i="80"/>
  <c r="H1518" i="80"/>
  <c r="H1574" i="80"/>
  <c r="H1582" i="80"/>
  <c r="H696" i="80"/>
  <c r="H1041" i="80"/>
  <c r="H1049" i="80"/>
  <c r="H1113" i="80"/>
  <c r="H1121" i="80"/>
  <c r="H1106" i="80"/>
  <c r="H1019" i="80"/>
  <c r="H1099" i="80"/>
  <c r="H1028" i="80"/>
  <c r="H1132" i="80"/>
  <c r="H1077" i="80"/>
  <c r="H1085" i="80"/>
  <c r="H1093" i="80"/>
  <c r="H1056" i="80"/>
  <c r="H1064" i="80"/>
  <c r="E73" i="29"/>
  <c r="F73" i="29" s="1"/>
  <c r="H44" i="80"/>
  <c r="H116" i="80"/>
  <c r="H148" i="80"/>
  <c r="H244" i="80"/>
  <c r="H252" i="80"/>
  <c r="H308" i="80"/>
  <c r="H316" i="80"/>
  <c r="H324" i="80"/>
  <c r="H476" i="80"/>
  <c r="H109" i="80"/>
  <c r="H189" i="80"/>
  <c r="H197" i="80"/>
  <c r="H205" i="80"/>
  <c r="H237" i="80"/>
  <c r="H341" i="80"/>
  <c r="H413" i="80"/>
  <c r="H38" i="80"/>
  <c r="H166" i="80"/>
  <c r="H174" i="80"/>
  <c r="H182" i="80"/>
  <c r="H230" i="80"/>
  <c r="H366" i="80"/>
  <c r="H470" i="80"/>
  <c r="H215" i="80"/>
  <c r="H223" i="80"/>
  <c r="H335" i="80"/>
  <c r="H399" i="80"/>
  <c r="H407" i="80"/>
  <c r="H527" i="80"/>
  <c r="H128" i="80"/>
  <c r="H160" i="80"/>
  <c r="H352" i="80"/>
  <c r="H432" i="80"/>
  <c r="H33" i="80"/>
  <c r="H57" i="80"/>
  <c r="H265" i="80"/>
  <c r="H273" i="80"/>
  <c r="H377" i="80"/>
  <c r="H409" i="80"/>
  <c r="H425" i="80"/>
  <c r="H537" i="80"/>
  <c r="H50" i="80"/>
  <c r="H66" i="80"/>
  <c r="H74" i="80"/>
  <c r="H82" i="80"/>
  <c r="H138" i="80"/>
  <c r="H282" i="80"/>
  <c r="H394" i="80"/>
  <c r="H402" i="80"/>
  <c r="H442" i="80"/>
  <c r="H450" i="80"/>
  <c r="H482" i="80"/>
  <c r="H490" i="80"/>
  <c r="H546" i="80"/>
  <c r="H562" i="80"/>
  <c r="H570" i="80"/>
  <c r="H634" i="80"/>
  <c r="H642" i="80"/>
  <c r="H11" i="80"/>
  <c r="H459" i="80"/>
  <c r="H737" i="80"/>
  <c r="H745" i="80"/>
  <c r="H19" i="80"/>
  <c r="H599" i="80"/>
  <c r="H608" i="80"/>
  <c r="H627" i="80"/>
  <c r="H654" i="80"/>
  <c r="H898" i="80"/>
  <c r="H27" i="80"/>
  <c r="H91" i="80"/>
  <c r="H155" i="80"/>
  <c r="H411" i="80"/>
  <c r="H591" i="80"/>
  <c r="H664" i="80"/>
  <c r="H699" i="80"/>
  <c r="H707" i="80"/>
  <c r="H883" i="80"/>
  <c r="H891" i="80"/>
  <c r="H907" i="80"/>
  <c r="H291" i="80"/>
  <c r="H583" i="80"/>
  <c r="H656" i="80"/>
  <c r="H804" i="80"/>
  <c r="H916" i="80"/>
  <c r="H924" i="80"/>
  <c r="H299" i="80"/>
  <c r="H648" i="80"/>
  <c r="H869" i="80"/>
  <c r="H371" i="80"/>
  <c r="H686" i="80"/>
  <c r="H694" i="80"/>
  <c r="H830" i="80"/>
  <c r="H123" i="80"/>
  <c r="H555" i="80"/>
  <c r="H576" i="80"/>
  <c r="H703" i="80"/>
  <c r="H711" i="80"/>
  <c r="H719" i="80"/>
  <c r="H759" i="80"/>
  <c r="H767" i="80"/>
  <c r="H775" i="80"/>
  <c r="H839" i="80"/>
  <c r="H847" i="80"/>
  <c r="H863" i="80"/>
  <c r="H967" i="80"/>
  <c r="H975" i="80"/>
  <c r="H1416" i="80"/>
  <c r="H1424" i="80"/>
  <c r="H1432" i="80"/>
  <c r="H1409" i="80"/>
  <c r="H1529" i="80"/>
  <c r="H784" i="80"/>
  <c r="H1498" i="80"/>
  <c r="H728" i="80"/>
  <c r="H792" i="80"/>
  <c r="H856" i="80"/>
  <c r="H1379" i="80"/>
  <c r="H1507" i="80"/>
  <c r="H1515" i="80"/>
  <c r="H1523" i="80"/>
  <c r="H1539" i="80"/>
  <c r="H670" i="80"/>
  <c r="H800" i="80"/>
  <c r="H1388" i="80"/>
  <c r="H1396" i="80"/>
  <c r="H1447" i="80"/>
  <c r="H387" i="80"/>
  <c r="H679" i="80"/>
  <c r="H1549" i="80"/>
  <c r="H1439" i="80"/>
  <c r="H615" i="80"/>
  <c r="H752" i="80"/>
  <c r="H816" i="80"/>
  <c r="H1382" i="80"/>
  <c r="H1462" i="80"/>
  <c r="H1534" i="80"/>
  <c r="H824" i="80"/>
  <c r="H1559" i="80"/>
  <c r="H132" i="80"/>
  <c r="H212" i="80"/>
  <c r="H276" i="80"/>
  <c r="H428" i="80"/>
  <c r="H436" i="80"/>
  <c r="H500" i="80"/>
  <c r="H540" i="80"/>
  <c r="H61" i="80"/>
  <c r="H77" i="80"/>
  <c r="H101" i="80"/>
  <c r="H269" i="80"/>
  <c r="H397" i="80"/>
  <c r="H405" i="80"/>
  <c r="H445" i="80"/>
  <c r="H453" i="80"/>
  <c r="H485" i="80"/>
  <c r="H493" i="80"/>
  <c r="H517" i="80"/>
  <c r="H549" i="80"/>
  <c r="H14" i="80"/>
  <c r="H70" i="80"/>
  <c r="H86" i="80"/>
  <c r="H94" i="80"/>
  <c r="H126" i="80"/>
  <c r="H142" i="80"/>
  <c r="H262" i="80"/>
  <c r="H286" i="80"/>
  <c r="H422" i="80"/>
  <c r="H23" i="80"/>
  <c r="H31" i="80"/>
  <c r="H47" i="80"/>
  <c r="H119" i="80"/>
  <c r="H255" i="80"/>
  <c r="H295" i="80"/>
  <c r="H303" i="80"/>
  <c r="H319" i="80"/>
  <c r="H327" i="80"/>
  <c r="H383" i="80"/>
  <c r="H391" i="80"/>
  <c r="H439" i="80"/>
  <c r="H479" i="80"/>
  <c r="H511" i="80"/>
  <c r="H112" i="80"/>
  <c r="H152" i="80"/>
  <c r="H192" i="80"/>
  <c r="H208" i="80"/>
  <c r="H248" i="80"/>
  <c r="H312" i="80"/>
  <c r="H416" i="80"/>
  <c r="H41" i="80"/>
  <c r="H105" i="80"/>
  <c r="H169" i="80"/>
  <c r="H185" i="80"/>
  <c r="H201" i="80"/>
  <c r="H241" i="80"/>
  <c r="H345" i="80"/>
  <c r="H473" i="80"/>
  <c r="H178" i="80"/>
  <c r="H234" i="80"/>
  <c r="H330" i="80"/>
  <c r="H338" i="80"/>
  <c r="H506" i="80"/>
  <c r="H586" i="80"/>
  <c r="H618" i="80"/>
  <c r="H658" i="80"/>
  <c r="H674" i="80"/>
  <c r="H523" i="80"/>
  <c r="H558" i="80"/>
  <c r="H579" i="80"/>
  <c r="H697" i="80"/>
  <c r="H809" i="80"/>
  <c r="H873" i="80"/>
  <c r="H531" i="80"/>
  <c r="H645" i="80"/>
  <c r="H690" i="80"/>
  <c r="H706" i="80"/>
  <c r="H714" i="80"/>
  <c r="H722" i="80"/>
  <c r="H834" i="80"/>
  <c r="H970" i="80"/>
  <c r="H978" i="80"/>
  <c r="H994" i="80"/>
  <c r="H1002" i="80"/>
  <c r="H219" i="80"/>
  <c r="H637" i="80"/>
  <c r="H683" i="80"/>
  <c r="H755" i="80"/>
  <c r="H763" i="80"/>
  <c r="H771" i="80"/>
  <c r="H779" i="80"/>
  <c r="H843" i="80"/>
  <c r="H851" i="80"/>
  <c r="H867" i="80"/>
  <c r="H939" i="80"/>
  <c r="H35" i="80"/>
  <c r="H227" i="80"/>
  <c r="H355" i="80"/>
  <c r="H573" i="80"/>
  <c r="H732" i="80"/>
  <c r="H740" i="80"/>
  <c r="H748" i="80"/>
  <c r="H788" i="80"/>
  <c r="H796" i="80"/>
  <c r="H820" i="80"/>
  <c r="H828" i="80"/>
  <c r="H860" i="80"/>
  <c r="H948" i="80"/>
  <c r="H964" i="80"/>
  <c r="H363" i="80"/>
  <c r="H603" i="80"/>
  <c r="H612" i="80"/>
  <c r="H630" i="80"/>
  <c r="H667" i="80"/>
  <c r="H709" i="80"/>
  <c r="H957" i="80"/>
  <c r="H981" i="80"/>
  <c r="H1005" i="80"/>
  <c r="H1013" i="80"/>
  <c r="H565" i="80"/>
  <c r="H595" i="80"/>
  <c r="H702" i="80"/>
  <c r="H894" i="80"/>
  <c r="H902" i="80"/>
  <c r="H934" i="80"/>
  <c r="H942" i="80"/>
  <c r="H990" i="80"/>
  <c r="H623" i="80"/>
  <c r="H651" i="80"/>
  <c r="H887" i="80"/>
  <c r="H911" i="80"/>
  <c r="H1488" i="80"/>
  <c r="H1552" i="80"/>
  <c r="H1537" i="80"/>
  <c r="H1569" i="80"/>
  <c r="H1585" i="80"/>
  <c r="H1465" i="80"/>
  <c r="H1473" i="80"/>
  <c r="H1577" i="80"/>
  <c r="H1579" i="80"/>
  <c r="H1386" i="80"/>
  <c r="H1442" i="80"/>
  <c r="H1562" i="80"/>
  <c r="H920" i="80"/>
  <c r="H1403" i="80"/>
  <c r="H1427" i="80"/>
  <c r="H1451" i="80"/>
  <c r="H1459" i="80"/>
  <c r="H1483" i="80"/>
  <c r="H1547" i="80"/>
  <c r="H1571" i="80"/>
  <c r="H1519" i="80"/>
  <c r="H1575" i="80"/>
  <c r="H928" i="80"/>
  <c r="H1436" i="80"/>
  <c r="H1532" i="80"/>
  <c r="H1556" i="80"/>
  <c r="H1564" i="80"/>
  <c r="H1391" i="80"/>
  <c r="H1583" i="80"/>
  <c r="H1405" i="80"/>
  <c r="H1413" i="80"/>
  <c r="H1421" i="80"/>
  <c r="H1469" i="80"/>
  <c r="H1493" i="80"/>
  <c r="H1573" i="80"/>
  <c r="H1581" i="80"/>
  <c r="H880" i="80"/>
  <c r="H1478" i="80"/>
  <c r="H1502" i="80"/>
  <c r="H1510" i="80"/>
  <c r="H1526" i="80"/>
  <c r="H1542" i="80"/>
  <c r="H1558" i="80"/>
  <c r="H952" i="80"/>
  <c r="H1399" i="80"/>
  <c r="H1455" i="80"/>
  <c r="H1057" i="80"/>
  <c r="H1065" i="80"/>
  <c r="H1034" i="80"/>
  <c r="H1042" i="80"/>
  <c r="H1050" i="80"/>
  <c r="H1114" i="80"/>
  <c r="H1122" i="80"/>
  <c r="H1107" i="80"/>
  <c r="H1020" i="80"/>
  <c r="H1100" i="80"/>
  <c r="H1029" i="80"/>
  <c r="H1133" i="80"/>
  <c r="H1070" i="80"/>
  <c r="H1078" i="80"/>
  <c r="H1086" i="80"/>
  <c r="H172" i="80"/>
  <c r="H348" i="80"/>
  <c r="H508" i="80"/>
  <c r="H221" i="80"/>
  <c r="H6" i="80"/>
  <c r="H54" i="80"/>
  <c r="H279" i="80"/>
  <c r="H64" i="80"/>
  <c r="H80" i="80"/>
  <c r="H88" i="80"/>
  <c r="H96" i="80"/>
  <c r="H488" i="80"/>
  <c r="H496" i="80"/>
  <c r="H321" i="80"/>
  <c r="H812" i="80"/>
  <c r="H621" i="80"/>
  <c r="H717" i="80"/>
  <c r="H725" i="80"/>
  <c r="H853" i="80"/>
  <c r="H758" i="80"/>
  <c r="H782" i="80"/>
  <c r="H605" i="80"/>
  <c r="H735" i="80"/>
  <c r="H743" i="80"/>
  <c r="H1496" i="80"/>
  <c r="H1505" i="80"/>
  <c r="H1521" i="80"/>
  <c r="H1513" i="80"/>
  <c r="H195" i="80"/>
  <c r="H661" i="80"/>
  <c r="H1445" i="80"/>
  <c r="H1438" i="80"/>
  <c r="H921" i="80"/>
  <c r="H929" i="80"/>
  <c r="H1014" i="80"/>
  <c r="H903" i="80"/>
  <c r="H912" i="80"/>
  <c r="H1058" i="80"/>
  <c r="H1066" i="80"/>
  <c r="H1035" i="80"/>
  <c r="H1043" i="80"/>
  <c r="H1051" i="80"/>
  <c r="H1123" i="80"/>
  <c r="H1108" i="80"/>
  <c r="H1021" i="80"/>
  <c r="H1101" i="80"/>
  <c r="H1030" i="80"/>
  <c r="H1094" i="80"/>
  <c r="H1134" i="80"/>
  <c r="H1071" i="80"/>
  <c r="H1079" i="80"/>
  <c r="H1087" i="80"/>
  <c r="H1025" i="80"/>
  <c r="H1033" i="80"/>
  <c r="H1097" i="80"/>
  <c r="H1074" i="80"/>
  <c r="H1082" i="80"/>
  <c r="H1090" i="80"/>
  <c r="H1130" i="80"/>
  <c r="H1069" i="80"/>
  <c r="H1046" i="80"/>
  <c r="H1054" i="80"/>
  <c r="H1062" i="80"/>
  <c r="H1118" i="80"/>
  <c r="H1126" i="80"/>
  <c r="H1039" i="80"/>
  <c r="H1111" i="80"/>
  <c r="H1104" i="80"/>
  <c r="H1016" i="80"/>
  <c r="H4" i="80"/>
  <c r="H36" i="80"/>
  <c r="H52" i="80"/>
  <c r="H356" i="80"/>
  <c r="H532" i="80"/>
  <c r="H580" i="80"/>
  <c r="H133" i="80"/>
  <c r="H157" i="80"/>
  <c r="H277" i="80"/>
  <c r="H373" i="80"/>
  <c r="H429" i="80"/>
  <c r="H461" i="80"/>
  <c r="H541" i="80"/>
  <c r="H62" i="80"/>
  <c r="H78" i="80"/>
  <c r="H270" i="80"/>
  <c r="H406" i="80"/>
  <c r="H446" i="80"/>
  <c r="H454" i="80"/>
  <c r="H486" i="80"/>
  <c r="H494" i="80"/>
  <c r="H15" i="80"/>
  <c r="H71" i="80"/>
  <c r="H127" i="80"/>
  <c r="H143" i="80"/>
  <c r="H287" i="80"/>
  <c r="H8" i="80"/>
  <c r="H24" i="80"/>
  <c r="H32" i="80"/>
  <c r="H48" i="80"/>
  <c r="H120" i="80"/>
  <c r="H296" i="80"/>
  <c r="H304" i="80"/>
  <c r="H384" i="80"/>
  <c r="H440" i="80"/>
  <c r="H480" i="80"/>
  <c r="H193" i="80"/>
  <c r="H249" i="80"/>
  <c r="H313" i="80"/>
  <c r="H42" i="80"/>
  <c r="H106" i="80"/>
  <c r="H170" i="80"/>
  <c r="H186" i="80"/>
  <c r="H202" i="80"/>
  <c r="H346" i="80"/>
  <c r="H466" i="80"/>
  <c r="H331" i="80"/>
  <c r="H913" i="80"/>
  <c r="H339" i="80"/>
  <c r="H559" i="80"/>
  <c r="H810" i="80"/>
  <c r="H874" i="80"/>
  <c r="H930" i="80"/>
  <c r="H619" i="80"/>
  <c r="H646" i="80"/>
  <c r="H691" i="80"/>
  <c r="H715" i="80"/>
  <c r="H723" i="80"/>
  <c r="H835" i="80"/>
  <c r="H995" i="80"/>
  <c r="H638" i="80"/>
  <c r="H675" i="80"/>
  <c r="H756" i="80"/>
  <c r="H764" i="80"/>
  <c r="H780" i="80"/>
  <c r="H844" i="80"/>
  <c r="H235" i="80"/>
  <c r="H733" i="80"/>
  <c r="H741" i="80"/>
  <c r="H749" i="80"/>
  <c r="H789" i="80"/>
  <c r="H179" i="80"/>
  <c r="H550" i="80"/>
  <c r="H613" i="80"/>
  <c r="H631" i="80"/>
  <c r="H659" i="80"/>
  <c r="H668" i="80"/>
  <c r="H710" i="80"/>
  <c r="H982" i="80"/>
  <c r="H1006" i="80"/>
  <c r="H566" i="80"/>
  <c r="H587" i="80"/>
  <c r="H895" i="80"/>
  <c r="H943" i="80"/>
  <c r="H904" i="80"/>
  <c r="H1443" i="80"/>
  <c r="H1428" i="80"/>
  <c r="H1503" i="80"/>
  <c r="H1494" i="80"/>
  <c r="H624" i="80"/>
  <c r="H888" i="80"/>
  <c r="H1511" i="80"/>
  <c r="H180" i="80"/>
  <c r="H220" i="80"/>
  <c r="H228" i="80"/>
  <c r="H236" i="80"/>
  <c r="H332" i="80"/>
  <c r="H340" i="80"/>
  <c r="H364" i="80"/>
  <c r="H412" i="80"/>
  <c r="H524" i="80"/>
  <c r="H5" i="80"/>
  <c r="H37" i="80"/>
  <c r="H53" i="80"/>
  <c r="H213" i="80"/>
  <c r="H357" i="80"/>
  <c r="H501" i="80"/>
  <c r="H533" i="80"/>
  <c r="H102" i="80"/>
  <c r="H134" i="80"/>
  <c r="H158" i="80"/>
  <c r="H278" i="80"/>
  <c r="H374" i="80"/>
  <c r="H430" i="80"/>
  <c r="H462" i="80"/>
  <c r="H518" i="80"/>
  <c r="H63" i="80"/>
  <c r="H79" i="80"/>
  <c r="H87" i="80"/>
  <c r="H95" i="80"/>
  <c r="H263" i="80"/>
  <c r="H271" i="80"/>
  <c r="H423" i="80"/>
  <c r="H447" i="80"/>
  <c r="H455" i="80"/>
  <c r="H487" i="80"/>
  <c r="H495" i="80"/>
  <c r="H551" i="80"/>
  <c r="H16" i="80"/>
  <c r="H72" i="80"/>
  <c r="H144" i="80"/>
  <c r="H256" i="80"/>
  <c r="H288" i="80"/>
  <c r="H320" i="80"/>
  <c r="H368" i="80"/>
  <c r="H392" i="80"/>
  <c r="H400" i="80"/>
  <c r="H512" i="80"/>
  <c r="H9" i="80"/>
  <c r="H25" i="80"/>
  <c r="H49" i="80"/>
  <c r="H113" i="80"/>
  <c r="H121" i="80"/>
  <c r="H153" i="80"/>
  <c r="H209" i="80"/>
  <c r="H297" i="80"/>
  <c r="H305" i="80"/>
  <c r="H385" i="80"/>
  <c r="H417" i="80"/>
  <c r="H441" i="80"/>
  <c r="H162" i="80"/>
  <c r="H194" i="80"/>
  <c r="H242" i="80"/>
  <c r="H250" i="80"/>
  <c r="H314" i="80"/>
  <c r="H474" i="80"/>
  <c r="H203" i="80"/>
  <c r="H625" i="80"/>
  <c r="H881" i="80"/>
  <c r="H889" i="80"/>
  <c r="H905" i="80"/>
  <c r="H953" i="80"/>
  <c r="H467" i="80"/>
  <c r="H581" i="80"/>
  <c r="H698" i="80"/>
  <c r="H802" i="80"/>
  <c r="H914" i="80"/>
  <c r="H922" i="80"/>
  <c r="H986" i="80"/>
  <c r="H347" i="80"/>
  <c r="H560" i="80"/>
  <c r="H811" i="80"/>
  <c r="H542" i="80"/>
  <c r="H620" i="80"/>
  <c r="H647" i="80"/>
  <c r="H684" i="80"/>
  <c r="H692" i="80"/>
  <c r="H716" i="80"/>
  <c r="H724" i="80"/>
  <c r="H772" i="80"/>
  <c r="H836" i="80"/>
  <c r="H852" i="80"/>
  <c r="H868" i="80"/>
  <c r="H972" i="80"/>
  <c r="H996" i="80"/>
  <c r="H107" i="80"/>
  <c r="H171" i="80"/>
  <c r="H574" i="80"/>
  <c r="H639" i="80"/>
  <c r="H676" i="80"/>
  <c r="H757" i="80"/>
  <c r="H765" i="80"/>
  <c r="H781" i="80"/>
  <c r="H797" i="80"/>
  <c r="H821" i="80"/>
  <c r="H845" i="80"/>
  <c r="H861" i="80"/>
  <c r="H604" i="80"/>
  <c r="H734" i="80"/>
  <c r="H742" i="80"/>
  <c r="H750" i="80"/>
  <c r="H790" i="80"/>
  <c r="H187" i="80"/>
  <c r="H379" i="80"/>
  <c r="H507" i="80"/>
  <c r="H596" i="80"/>
  <c r="H614" i="80"/>
  <c r="H632" i="80"/>
  <c r="H660" i="80"/>
  <c r="H669" i="80"/>
  <c r="H935" i="80"/>
  <c r="H983" i="80"/>
  <c r="H991" i="80"/>
  <c r="H1007" i="80"/>
  <c r="H896" i="80"/>
  <c r="H1456" i="80"/>
  <c r="H1504" i="80"/>
  <c r="H1512" i="80"/>
  <c r="H1520" i="80"/>
  <c r="H1495" i="80"/>
  <c r="H567" i="80"/>
  <c r="H1489" i="80"/>
  <c r="H1378" i="80"/>
  <c r="H1394" i="80"/>
  <c r="H1466" i="80"/>
  <c r="H1474" i="80"/>
  <c r="H1538" i="80"/>
  <c r="H588" i="80"/>
  <c r="H1387" i="80"/>
  <c r="H1444" i="80"/>
  <c r="H1452" i="80"/>
  <c r="H1460" i="80"/>
  <c r="H1484" i="80"/>
  <c r="H1548" i="80"/>
  <c r="H1479" i="80"/>
  <c r="H1527" i="80"/>
  <c r="H1381" i="80"/>
  <c r="H1429" i="80"/>
  <c r="H1437" i="80"/>
  <c r="H1533" i="80"/>
  <c r="H1565" i="80"/>
  <c r="H1543" i="80"/>
  <c r="H944" i="80"/>
  <c r="H1406" i="80"/>
  <c r="H1414" i="80"/>
  <c r="H1422" i="80"/>
  <c r="H108" i="80"/>
  <c r="H164" i="80"/>
  <c r="H188" i="80"/>
  <c r="H196" i="80"/>
  <c r="H204" i="80"/>
  <c r="H468" i="80"/>
  <c r="H173" i="80"/>
  <c r="H181" i="80"/>
  <c r="H229" i="80"/>
  <c r="H333" i="80"/>
  <c r="H349" i="80"/>
  <c r="H365" i="80"/>
  <c r="H437" i="80"/>
  <c r="H525" i="80"/>
  <c r="H214" i="80"/>
  <c r="H222" i="80"/>
  <c r="H358" i="80"/>
  <c r="H502" i="80"/>
  <c r="H7" i="80"/>
  <c r="H55" i="80"/>
  <c r="H159" i="80"/>
  <c r="H431" i="80"/>
  <c r="H519" i="80"/>
  <c r="H535" i="80"/>
  <c r="H136" i="80"/>
  <c r="H264" i="80"/>
  <c r="H272" i="80"/>
  <c r="H280" i="80"/>
  <c r="H448" i="80"/>
  <c r="H456" i="80"/>
  <c r="H544" i="80"/>
  <c r="H17" i="80"/>
  <c r="H65" i="80"/>
  <c r="H73" i="80"/>
  <c r="H81" i="80"/>
  <c r="H89" i="80"/>
  <c r="H257" i="80"/>
  <c r="H289" i="80"/>
  <c r="H369" i="80"/>
  <c r="H393" i="80"/>
  <c r="H401" i="80"/>
  <c r="H481" i="80"/>
  <c r="H489" i="80"/>
  <c r="H553" i="80"/>
  <c r="H10" i="80"/>
  <c r="H26" i="80"/>
  <c r="H122" i="80"/>
  <c r="H146" i="80"/>
  <c r="H154" i="80"/>
  <c r="H298" i="80"/>
  <c r="H306" i="80"/>
  <c r="H322" i="80"/>
  <c r="H386" i="80"/>
  <c r="H418" i="80"/>
  <c r="H626" i="80"/>
  <c r="H662" i="80"/>
  <c r="H897" i="80"/>
  <c r="H569" i="80"/>
  <c r="H590" i="80"/>
  <c r="H882" i="80"/>
  <c r="H890" i="80"/>
  <c r="H906" i="80"/>
  <c r="H954" i="80"/>
  <c r="H475" i="80"/>
  <c r="H582" i="80"/>
  <c r="H803" i="80"/>
  <c r="H915" i="80"/>
  <c r="H931" i="80"/>
  <c r="H987" i="80"/>
  <c r="H1003" i="80"/>
  <c r="H561" i="80"/>
  <c r="H940" i="80"/>
  <c r="H43" i="80"/>
  <c r="H773" i="80"/>
  <c r="H813" i="80"/>
  <c r="H829" i="80"/>
  <c r="H837" i="80"/>
  <c r="H949" i="80"/>
  <c r="H965" i="80"/>
  <c r="H997" i="80"/>
  <c r="H115" i="80"/>
  <c r="H243" i="80"/>
  <c r="H575" i="80"/>
  <c r="H640" i="80"/>
  <c r="H677" i="80"/>
  <c r="H718" i="80"/>
  <c r="H726" i="80"/>
  <c r="H766" i="80"/>
  <c r="H798" i="80"/>
  <c r="H806" i="80"/>
  <c r="H822" i="80"/>
  <c r="H846" i="80"/>
  <c r="H854" i="80"/>
  <c r="H958" i="80"/>
  <c r="H251" i="80"/>
  <c r="H751" i="80"/>
  <c r="H783" i="80"/>
  <c r="H791" i="80"/>
  <c r="H633" i="80"/>
  <c r="H1528" i="80"/>
  <c r="H1497" i="80"/>
  <c r="H1506" i="80"/>
  <c r="H1522" i="80"/>
  <c r="H1407" i="80"/>
  <c r="H597" i="80"/>
  <c r="H736" i="80"/>
  <c r="H992" i="80"/>
  <c r="H606" i="80"/>
  <c r="H744" i="80"/>
  <c r="H936" i="80"/>
  <c r="H1008" i="80"/>
  <c r="H1430" i="80"/>
  <c r="H1446" i="80"/>
  <c r="H1061" i="80"/>
  <c r="H1117" i="80"/>
  <c r="H1038" i="80"/>
  <c r="H1015" i="80"/>
  <c r="H1024" i="80"/>
  <c r="H1073" i="80"/>
  <c r="H1081" i="80"/>
  <c r="H1089" i="80"/>
  <c r="H1129" i="80"/>
  <c r="H1060" i="80"/>
  <c r="H1068" i="80"/>
  <c r="H1116" i="80"/>
  <c r="H1037" i="80"/>
  <c r="H1045" i="80"/>
  <c r="H1053" i="80"/>
  <c r="H1125" i="80"/>
  <c r="H1110" i="80"/>
  <c r="H1023" i="80"/>
  <c r="H1103" i="80"/>
  <c r="H1032" i="80"/>
  <c r="H1096" i="80"/>
  <c r="H1136" i="80"/>
  <c r="D51" i="29"/>
  <c r="E51" i="29" s="1"/>
  <c r="F51" i="29" s="1"/>
  <c r="D14" i="29"/>
  <c r="E9" i="59" s="1"/>
  <c r="F9" i="59" s="1"/>
  <c r="G9" i="59" s="1"/>
  <c r="D38" i="29"/>
  <c r="E25" i="59" s="1"/>
  <c r="F25" i="59" s="1"/>
  <c r="G25" i="59" s="1"/>
  <c r="E100" i="29"/>
  <c r="F100" i="29" s="1"/>
  <c r="D12" i="29"/>
  <c r="E7" i="59" s="1"/>
  <c r="F7" i="59" s="1"/>
  <c r="G7" i="59" s="1"/>
  <c r="D15" i="29"/>
  <c r="E10" i="59" s="1"/>
  <c r="F10" i="59" s="1"/>
  <c r="G10" i="59" s="1"/>
  <c r="D42" i="29"/>
  <c r="E29" i="59" s="1"/>
  <c r="F29" i="59" s="1"/>
  <c r="G29" i="59" s="1"/>
  <c r="E57" i="59"/>
  <c r="F57" i="59" s="1"/>
  <c r="G57" i="59" s="1"/>
  <c r="D48" i="29"/>
  <c r="E34" i="59" s="1"/>
  <c r="F34" i="59" s="1"/>
  <c r="G34" i="59" s="1"/>
  <c r="D16" i="29"/>
  <c r="E11" i="59" s="1"/>
  <c r="F11" i="59" s="1"/>
  <c r="G11" i="59" s="1"/>
  <c r="D43" i="29"/>
  <c r="E43" i="29" s="1"/>
  <c r="F43" i="29" s="1"/>
  <c r="D9" i="29"/>
  <c r="E4" i="59" s="1"/>
  <c r="F4" i="59" s="1"/>
  <c r="G4" i="59" s="1"/>
  <c r="E63" i="59"/>
  <c r="F63" i="59" s="1"/>
  <c r="G63" i="59" s="1"/>
  <c r="D44" i="29"/>
  <c r="E31" i="59" s="1"/>
  <c r="F31" i="59" s="1"/>
  <c r="G31" i="59" s="1"/>
  <c r="E75" i="29"/>
  <c r="F75" i="29" s="1"/>
  <c r="D45" i="29"/>
  <c r="E45" i="29" s="1"/>
  <c r="F45" i="29" s="1"/>
  <c r="D13" i="29"/>
  <c r="E8" i="59" s="1"/>
  <c r="F8" i="59" s="1"/>
  <c r="G8" i="59" s="1"/>
  <c r="D19" i="29"/>
  <c r="E13" i="59" s="1"/>
  <c r="F13" i="59" s="1"/>
  <c r="G13" i="59" s="1"/>
  <c r="D46" i="29"/>
  <c r="E33" i="59" s="1"/>
  <c r="F33" i="59" s="1"/>
  <c r="G33" i="59" s="1"/>
  <c r="D8" i="29"/>
  <c r="E3" i="59" s="1"/>
  <c r="F3" i="59" s="1"/>
  <c r="G3" i="59" s="1"/>
  <c r="D10" i="29"/>
  <c r="E5" i="59" s="1"/>
  <c r="F5" i="59" s="1"/>
  <c r="G5" i="59" s="1"/>
  <c r="D11" i="29"/>
  <c r="E6" i="59" s="1"/>
  <c r="F6" i="59" s="1"/>
  <c r="G6" i="59" s="1"/>
  <c r="E25" i="29"/>
  <c r="E17" i="59"/>
  <c r="F17" i="59" s="1"/>
  <c r="G17" i="59" s="1"/>
  <c r="I37" i="28"/>
  <c r="M62" i="103"/>
  <c r="M40" i="103"/>
  <c r="M83" i="103"/>
  <c r="M128" i="103"/>
  <c r="H1392" i="80" s="1"/>
  <c r="M43" i="103"/>
  <c r="D147" i="29"/>
  <c r="E124" i="29"/>
  <c r="D118" i="29"/>
  <c r="E95" i="29"/>
  <c r="E66" i="29"/>
  <c r="D89" i="29"/>
  <c r="D37" i="29"/>
  <c r="D23" i="29"/>
  <c r="D22" i="29"/>
  <c r="D21" i="29"/>
  <c r="E17" i="29"/>
  <c r="K22" i="103"/>
  <c r="M22" i="103"/>
  <c r="E139" i="29"/>
  <c r="F139" i="29" s="1"/>
  <c r="E168" i="29"/>
  <c r="F168" i="29" s="1"/>
  <c r="E81" i="29"/>
  <c r="F81" i="29" s="1"/>
  <c r="E110" i="29"/>
  <c r="F110" i="29" s="1"/>
  <c r="E13" i="29" l="1"/>
  <c r="F13" i="29" s="1"/>
  <c r="E48" i="29"/>
  <c r="F48" i="29" s="1"/>
  <c r="E15" i="29"/>
  <c r="F15" i="29" s="1"/>
  <c r="E36" i="59"/>
  <c r="F36" i="59" s="1"/>
  <c r="G36" i="59" s="1"/>
  <c r="E30" i="59"/>
  <c r="F30" i="59" s="1"/>
  <c r="G30" i="59" s="1"/>
  <c r="E11" i="29"/>
  <c r="F11" i="29" s="1"/>
  <c r="E38" i="29"/>
  <c r="F38" i="29" s="1"/>
  <c r="E10" i="29"/>
  <c r="F10" i="29" s="1"/>
  <c r="E12" i="29"/>
  <c r="F12" i="29" s="1"/>
  <c r="E14" i="29"/>
  <c r="F14" i="29" s="1"/>
  <c r="H1059" i="80"/>
  <c r="H1067" i="80"/>
  <c r="H1115" i="80"/>
  <c r="H1036" i="80"/>
  <c r="H1044" i="80"/>
  <c r="H1052" i="80"/>
  <c r="H1124" i="80"/>
  <c r="H1109" i="80"/>
  <c r="H1022" i="80"/>
  <c r="H1102" i="80"/>
  <c r="H1031" i="80"/>
  <c r="H1095" i="80"/>
  <c r="H1135" i="80"/>
  <c r="H1088" i="80"/>
  <c r="H1128" i="80"/>
  <c r="H1072" i="80"/>
  <c r="H1080" i="80"/>
  <c r="H1169" i="80"/>
  <c r="H1149" i="80"/>
  <c r="H1142" i="80"/>
  <c r="H1191" i="80"/>
  <c r="H1239" i="80"/>
  <c r="H1197" i="80"/>
  <c r="H1225" i="80"/>
  <c r="H1156" i="80"/>
  <c r="H1217" i="80"/>
  <c r="H1235" i="80"/>
  <c r="H1209" i="80"/>
  <c r="H1182" i="80"/>
  <c r="H1229" i="80"/>
  <c r="H1163" i="80"/>
  <c r="H1194" i="80"/>
  <c r="H1203" i="80"/>
  <c r="H1221" i="80"/>
  <c r="H1176" i="80"/>
  <c r="H1271" i="80"/>
  <c r="H1279" i="80"/>
  <c r="H1352" i="80"/>
  <c r="H1360" i="80"/>
  <c r="H1376" i="80"/>
  <c r="H1306" i="80"/>
  <c r="H1322" i="80"/>
  <c r="H1338" i="80"/>
  <c r="H1346" i="80"/>
  <c r="H1299" i="80"/>
  <c r="H1331" i="80"/>
  <c r="H1371" i="80"/>
  <c r="H1335" i="80"/>
  <c r="H1265" i="80"/>
  <c r="H1292" i="80"/>
  <c r="H1316" i="80"/>
  <c r="H1364" i="80"/>
  <c r="H1248" i="80"/>
  <c r="H1341" i="80"/>
  <c r="H1258" i="80"/>
  <c r="H1286" i="80"/>
  <c r="H1311" i="80"/>
  <c r="H1327" i="80"/>
  <c r="E16" i="29"/>
  <c r="F16" i="29" s="1"/>
  <c r="E46" i="29"/>
  <c r="F46" i="29" s="1"/>
  <c r="E42" i="29"/>
  <c r="F42" i="29" s="1"/>
  <c r="E9" i="29"/>
  <c r="F9" i="29" s="1"/>
  <c r="E32" i="59"/>
  <c r="F32" i="59" s="1"/>
  <c r="G32" i="59" s="1"/>
  <c r="E44" i="29"/>
  <c r="F44" i="29" s="1"/>
  <c r="E19" i="29"/>
  <c r="F19" i="29" s="1"/>
  <c r="D108" i="29"/>
  <c r="E108" i="29" s="1"/>
  <c r="F108" i="29" s="1"/>
  <c r="D166" i="29"/>
  <c r="E166" i="29" s="1"/>
  <c r="D50" i="29"/>
  <c r="E50" i="29" s="1"/>
  <c r="F50" i="29" s="1"/>
  <c r="D79" i="29"/>
  <c r="E50" i="59" s="1"/>
  <c r="F50" i="59" s="1"/>
  <c r="G50" i="59" s="1"/>
  <c r="E147" i="29"/>
  <c r="F25" i="29"/>
  <c r="F32" i="29" s="1"/>
  <c r="E32" i="29"/>
  <c r="E185" i="29" s="1"/>
  <c r="F185" i="29" s="1"/>
  <c r="D60" i="29"/>
  <c r="E24" i="59"/>
  <c r="E22" i="29"/>
  <c r="F22" i="29" s="1"/>
  <c r="E15" i="59"/>
  <c r="E23" i="29"/>
  <c r="F23" i="29" s="1"/>
  <c r="E16" i="59"/>
  <c r="F16" i="59" s="1"/>
  <c r="G16" i="59" s="1"/>
  <c r="E21" i="29"/>
  <c r="F21" i="29" s="1"/>
  <c r="E14" i="59"/>
  <c r="F17" i="29"/>
  <c r="F124" i="29"/>
  <c r="F147" i="29" s="1"/>
  <c r="F95" i="29"/>
  <c r="F66" i="29"/>
  <c r="E37" i="29"/>
  <c r="E8" i="29"/>
  <c r="F182" i="29"/>
  <c r="I33" i="79"/>
  <c r="I34" i="79"/>
  <c r="E79" i="29" l="1"/>
  <c r="F79" i="29" s="1"/>
  <c r="F89" i="29" s="1"/>
  <c r="E64" i="59"/>
  <c r="F64" i="59" s="1"/>
  <c r="G64" i="59" s="1"/>
  <c r="E35" i="59"/>
  <c r="F35" i="59" s="1"/>
  <c r="G35" i="59" s="1"/>
  <c r="E68" i="59"/>
  <c r="F68" i="59" s="1"/>
  <c r="G68" i="59" s="1"/>
  <c r="E60" i="29"/>
  <c r="F166" i="29"/>
  <c r="F176" i="29" s="1"/>
  <c r="E176" i="29"/>
  <c r="F118" i="29"/>
  <c r="E118" i="29"/>
  <c r="E31" i="29"/>
  <c r="F8" i="29"/>
  <c r="F31" i="29" s="1"/>
  <c r="F24" i="59"/>
  <c r="G24" i="59" s="1"/>
  <c r="F15" i="59"/>
  <c r="G15" i="59" s="1"/>
  <c r="F14" i="59"/>
  <c r="F37" i="29"/>
  <c r="F60" i="29" s="1"/>
  <c r="J35" i="79"/>
  <c r="E89" i="29" l="1"/>
  <c r="E184" i="29" s="1"/>
  <c r="E187" i="29" s="1"/>
  <c r="F71" i="59"/>
  <c r="G14" i="59"/>
  <c r="G71" i="59" s="1"/>
  <c r="E189" i="29" l="1"/>
  <c r="F189" i="29" s="1"/>
  <c r="F66" i="79"/>
  <c r="I66" i="79" s="1"/>
  <c r="F63" i="79"/>
  <c r="I63" i="79" s="1"/>
  <c r="J64" i="79" s="1"/>
  <c r="F187" i="29"/>
  <c r="F51" i="79"/>
  <c r="I51" i="79" s="1"/>
  <c r="J52" i="79" s="1"/>
  <c r="F57" i="79"/>
  <c r="I57" i="79" s="1"/>
  <c r="J58" i="79" s="1"/>
  <c r="F45" i="79"/>
  <c r="I45" i="79" s="1"/>
  <c r="J46" i="79" s="1"/>
  <c r="F54" i="79"/>
  <c r="I54" i="79" s="1"/>
  <c r="J55" i="79" s="1"/>
  <c r="F40" i="79"/>
  <c r="I40" i="79" s="1"/>
  <c r="F37" i="79"/>
  <c r="I37" i="79" s="1"/>
  <c r="J38" i="79" s="1"/>
  <c r="F41" i="79"/>
  <c r="I41" i="79" s="1"/>
  <c r="F48" i="79"/>
  <c r="I48" i="79" s="1"/>
  <c r="J49" i="79" s="1"/>
  <c r="F184" i="29"/>
  <c r="F15" i="79" l="1"/>
  <c r="I15" i="79" s="1"/>
  <c r="J16" i="79" s="1"/>
  <c r="J4" i="79"/>
  <c r="I28" i="79" s="1"/>
  <c r="F6" i="79"/>
  <c r="I6" i="79" s="1"/>
  <c r="J7" i="79" s="1"/>
  <c r="J42" i="79"/>
  <c r="I10" i="79" l="1"/>
  <c r="I25" i="79"/>
  <c r="I46" i="79"/>
  <c r="I52" i="79"/>
  <c r="I55" i="79"/>
  <c r="I64" i="79"/>
  <c r="I49" i="79"/>
  <c r="I58" i="79"/>
  <c r="I61" i="79"/>
  <c r="I35" i="79"/>
  <c r="I7" i="79"/>
  <c r="I16" i="79"/>
  <c r="I19" i="79"/>
  <c r="I38" i="79"/>
  <c r="I42" i="79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<sst xmlns="http://schemas.openxmlformats.org/spreadsheetml/2006/main" count="14973" uniqueCount="1235">
  <si>
    <t xml:space="preserve">       RESUMO DO CONTRATO</t>
  </si>
  <si>
    <t>00 - VALOR ESTIMADO</t>
  </si>
  <si>
    <t>SANTA MARIA</t>
  </si>
  <si>
    <t>IDENTIFICAÇÃO DA ÁREA</t>
  </si>
  <si>
    <t>ÁREA TOTAL</t>
  </si>
  <si>
    <t>VALOR UNITÁRIO</t>
  </si>
  <si>
    <t>VALOR MENSAL</t>
  </si>
  <si>
    <t>VALOR ANUAL</t>
  </si>
  <si>
    <t>1. ÁREAS INTERNAS</t>
  </si>
  <si>
    <t>1.1 Pisos frios/vinílicos - Salas de Aula</t>
  </si>
  <si>
    <t>1.2 Pisos frios/vinílicos - Administrativo</t>
  </si>
  <si>
    <t>1.3 Pisos frios/vinílicos - Auditório</t>
  </si>
  <si>
    <t>1.4 Pisos acarpetados - Administrativo</t>
  </si>
  <si>
    <t>1.5 Pisos acarpetados - Auditório</t>
  </si>
  <si>
    <t>1.6 Laboratórios</t>
  </si>
  <si>
    <t>1.7 Almoxarifados/Galpões</t>
  </si>
  <si>
    <t>1.8 Oficinas, estufas e viveiros</t>
  </si>
  <si>
    <t>1.9 Áreas com espaços livres (circulação, hall, saguão)</t>
  </si>
  <si>
    <t>1.10 Banheiros</t>
  </si>
  <si>
    <t>2. ÁREAS EXTERNAS</t>
  </si>
  <si>
    <t>2.1 Pisos pavimentados contíguos às edificações</t>
  </si>
  <si>
    <t>3.1 Vidros e esquadrias - Face interna</t>
  </si>
  <si>
    <t>3.2 Vidros e esquadrias - Face externa com exposição a situação de risco</t>
  </si>
  <si>
    <t>3.3 Fachadas externas com exposição a situação de risco</t>
  </si>
  <si>
    <t>4. POSTOS FIXOS</t>
  </si>
  <si>
    <t>4.1 Servente de Limpeza</t>
  </si>
  <si>
    <t>4.2 Auxiliar de Limpeza - Banheiros</t>
  </si>
  <si>
    <t>4.3 Auxiliar de Limpeza - Hospitalar</t>
  </si>
  <si>
    <t>4.4 Limpador de Piscina</t>
  </si>
  <si>
    <t>4.5 Agente de Coleta de Lixo</t>
  </si>
  <si>
    <t>4.6 Coletor de Resíduos da Saúde</t>
  </si>
  <si>
    <t>TOTAL - ÁREAS</t>
  </si>
  <si>
    <t>TOTAL - POSTOS</t>
  </si>
  <si>
    <t>CACHOEIRA DO SUL</t>
  </si>
  <si>
    <t>4.1 Auxiliar de Limpeza</t>
  </si>
  <si>
    <t>FREDERICO WESTPHALEN</t>
  </si>
  <si>
    <t>PALMEIRA DAS MISSÕES</t>
  </si>
  <si>
    <t>SÃO JOÃO DO POLÊSINE</t>
  </si>
  <si>
    <t>SILVEIRA MARTINS</t>
  </si>
  <si>
    <t>IDENTIFICAÇÃO</t>
  </si>
  <si>
    <t>RESUMO DO CONTRATO</t>
  </si>
  <si>
    <t>LIMITE 25%</t>
  </si>
  <si>
    <t>TOTAL DE ÁREAS DO CONTRATO</t>
  </si>
  <si>
    <t>TOTAL DE POSTOS DO CONTRATO</t>
  </si>
  <si>
    <t>VALOR MENSAL DAS ÁREAS</t>
  </si>
  <si>
    <t>VALOR MENSAL DOS POSTOS</t>
  </si>
  <si>
    <t>VALOR MENSAL DOS INSUMOS</t>
  </si>
  <si>
    <t>TOTAL MENSAL DO CONTRATO</t>
  </si>
  <si>
    <t>TOTAL ANUAL DO CONTRATO</t>
  </si>
  <si>
    <t>Cachoeira do Sul</t>
  </si>
  <si>
    <t>Frederico Westphalen</t>
  </si>
  <si>
    <t>Palmeira das Missões</t>
  </si>
  <si>
    <t>Santa Maria</t>
  </si>
  <si>
    <t>Silveira Martins</t>
  </si>
  <si>
    <t>LOCALIDADE</t>
  </si>
  <si>
    <t>UNIDADE</t>
  </si>
  <si>
    <t>LOCAL</t>
  </si>
  <si>
    <t>TIPO DE POSTO</t>
  </si>
  <si>
    <t>SETOR</t>
  </si>
  <si>
    <t>QUANTIDADE</t>
  </si>
  <si>
    <t>TERMO</t>
  </si>
  <si>
    <t>Centro de Artes e Letras (CAL)</t>
  </si>
  <si>
    <t>40C</t>
  </si>
  <si>
    <t>5143-20 SRV.L 5x2 DIURNO SM</t>
  </si>
  <si>
    <t>CURSO DE DANÇA</t>
  </si>
  <si>
    <t>Centro de Ciências da Saúde (CCS)</t>
  </si>
  <si>
    <t>26A</t>
  </si>
  <si>
    <t>DEP. CIRURGIA EXPERIMENTAL</t>
  </si>
  <si>
    <t>26E</t>
  </si>
  <si>
    <t>DEP. FONOAUDIOLOGIA</t>
  </si>
  <si>
    <t>19</t>
  </si>
  <si>
    <t>DEP. MORFOLOGIA</t>
  </si>
  <si>
    <t>26F</t>
  </si>
  <si>
    <t>DEP. ODONTOLOGIA</t>
  </si>
  <si>
    <t>26D</t>
  </si>
  <si>
    <t>DEP. TERAPIA OCUPACIONAL</t>
  </si>
  <si>
    <t>São João do Polêsine</t>
  </si>
  <si>
    <t>Centro de Ciências Naturais e Exatas (CCNE)</t>
  </si>
  <si>
    <t>CAPPA</t>
  </si>
  <si>
    <t>CENTRO DE APOIO À PESQUISA PALEONTOLÓGICA</t>
  </si>
  <si>
    <t>INPE</t>
  </si>
  <si>
    <t>5143-20 AUX.LB 5x2 DIURNO SM</t>
  </si>
  <si>
    <t>Centro de Tecnologia (CT)</t>
  </si>
  <si>
    <t>Centro de Ciências Rurais (CCR)</t>
  </si>
  <si>
    <t>97</t>
  </si>
  <si>
    <t>HOSPITAL VETERINÁRIO UNIVERSITÁRIO</t>
  </si>
  <si>
    <t>44B</t>
  </si>
  <si>
    <t>LAB. BIOTECNOLOGIA FLORESTAL</t>
  </si>
  <si>
    <t>Centro de Educação Física e Desportos (CEFD)</t>
  </si>
  <si>
    <t>51</t>
  </si>
  <si>
    <t>CEFD</t>
  </si>
  <si>
    <t>54</t>
  </si>
  <si>
    <t>PISCINAS</t>
  </si>
  <si>
    <t>Pró-Reitoria de Administração (PRA)</t>
  </si>
  <si>
    <t>62E</t>
  </si>
  <si>
    <t>DAG</t>
  </si>
  <si>
    <t>Pró-Reitoria de Assuntos Estudantis (PRAE)</t>
  </si>
  <si>
    <t>48D</t>
  </si>
  <si>
    <t>CLÍNICAS</t>
  </si>
  <si>
    <t>Pró-Reitoria de Extensão (PRE)</t>
  </si>
  <si>
    <t>30</t>
  </si>
  <si>
    <t>ACERVO ARTÍSTICO</t>
  </si>
  <si>
    <t>62A</t>
  </si>
  <si>
    <t>CENTRO DE CONVENÇÕES</t>
  </si>
  <si>
    <t>358</t>
  </si>
  <si>
    <t>MUSEU GAMA D'EÇA</t>
  </si>
  <si>
    <t>Pró-Reitoria de Gestão de Pessoas (PROGEP)</t>
  </si>
  <si>
    <t>48C</t>
  </si>
  <si>
    <t>CQVS</t>
  </si>
  <si>
    <t>Pró-Reitoria de Graduação (PROGRAD)</t>
  </si>
  <si>
    <t>BIBLIOTECA CENTRAL</t>
  </si>
  <si>
    <t>Pró-Reitoria de Infraestrutura (PROINFRA)</t>
  </si>
  <si>
    <t>47</t>
  </si>
  <si>
    <t>EQUIPE CONTINGÊNCIA</t>
  </si>
  <si>
    <t>Unidade de Educação Infantil Ipê Amarelo (UEIIA)</t>
  </si>
  <si>
    <t>04</t>
  </si>
  <si>
    <t>IPÊ AMARELO</t>
  </si>
  <si>
    <t>5142-05 COL.LX 5x2 DIURNO SM</t>
  </si>
  <si>
    <t>SETOR DE PLANEJAMENTO AMBIENTAL</t>
  </si>
  <si>
    <t>5142-30 COL.RS 5x2 DIURNO SM</t>
  </si>
  <si>
    <t>CENTRO DE CIÊNCIAS DA SAÚDE</t>
  </si>
  <si>
    <t>A-B</t>
  </si>
  <si>
    <t>EMEPE SILVEIRA MARTINS</t>
  </si>
  <si>
    <t>Campus Cachoeira do Sul</t>
  </si>
  <si>
    <t>D1</t>
  </si>
  <si>
    <t>5143-20 AUX.LB 5x2 DIURNO CS</t>
  </si>
  <si>
    <t>ADMINISTRATIVO E CEU</t>
  </si>
  <si>
    <t>Total</t>
  </si>
  <si>
    <t>ÁREAS POR UNIDADE</t>
  </si>
  <si>
    <t>PRÉDIO</t>
  </si>
  <si>
    <t>NOME</t>
  </si>
  <si>
    <t>TIPO DE ÁREA</t>
  </si>
  <si>
    <t>ÁREA EM M²</t>
  </si>
  <si>
    <t>16</t>
  </si>
  <si>
    <t>40</t>
  </si>
  <si>
    <t>CAL</t>
  </si>
  <si>
    <t>40A</t>
  </si>
  <si>
    <t>Letras</t>
  </si>
  <si>
    <t>40B</t>
  </si>
  <si>
    <t>Música</t>
  </si>
  <si>
    <t>Dança</t>
  </si>
  <si>
    <t>41</t>
  </si>
  <si>
    <t>Atelier</t>
  </si>
  <si>
    <t>40J</t>
  </si>
  <si>
    <t>Caixa Preta</t>
  </si>
  <si>
    <t>08</t>
  </si>
  <si>
    <t>13</t>
  </si>
  <si>
    <t>CCNE</t>
  </si>
  <si>
    <t>13A</t>
  </si>
  <si>
    <t>Ciência Viva</t>
  </si>
  <si>
    <t>13B</t>
  </si>
  <si>
    <t>13D</t>
  </si>
  <si>
    <t>LARP</t>
  </si>
  <si>
    <t>13E</t>
  </si>
  <si>
    <t>Jardim Botânico</t>
  </si>
  <si>
    <t>13F</t>
  </si>
  <si>
    <t>15A</t>
  </si>
  <si>
    <t>NAPO</t>
  </si>
  <si>
    <t>15B</t>
  </si>
  <si>
    <t>LEQSV/LACHEM</t>
  </si>
  <si>
    <t>16A</t>
  </si>
  <si>
    <t>Salas de Aula</t>
  </si>
  <si>
    <t>17</t>
  </si>
  <si>
    <t>Geociências / Biologia</t>
  </si>
  <si>
    <t>18</t>
  </si>
  <si>
    <t>Química</t>
  </si>
  <si>
    <t>Morfologia</t>
  </si>
  <si>
    <t>21</t>
  </si>
  <si>
    <t>Fisiologia</t>
  </si>
  <si>
    <t>67A</t>
  </si>
  <si>
    <t>CEPETRO</t>
  </si>
  <si>
    <t>42</t>
  </si>
  <si>
    <t>CCR-I</t>
  </si>
  <si>
    <t>43A</t>
  </si>
  <si>
    <t>Solos</t>
  </si>
  <si>
    <t>43B</t>
  </si>
  <si>
    <t>Biblioteca</t>
  </si>
  <si>
    <t>44</t>
  </si>
  <si>
    <t>CCR-II</t>
  </si>
  <si>
    <t>Manejo Florestal / Dendrologia</t>
  </si>
  <si>
    <t>44D</t>
  </si>
  <si>
    <t>Microirrigação</t>
  </si>
  <si>
    <t>44E</t>
  </si>
  <si>
    <t>44F</t>
  </si>
  <si>
    <t>NESAF</t>
  </si>
  <si>
    <t>44G</t>
  </si>
  <si>
    <t>LabMIP</t>
  </si>
  <si>
    <t>44H</t>
  </si>
  <si>
    <t>Manejo e Irrigação</t>
  </si>
  <si>
    <t>44J</t>
  </si>
  <si>
    <t>Geotecnologia</t>
  </si>
  <si>
    <t>44L</t>
  </si>
  <si>
    <t>Biodinâmica do Solo</t>
  </si>
  <si>
    <t>44N</t>
  </si>
  <si>
    <t>Engenharia Natural</t>
  </si>
  <si>
    <t>46</t>
  </si>
  <si>
    <t>NIDAL</t>
  </si>
  <si>
    <t>63A</t>
  </si>
  <si>
    <t>Virologia</t>
  </si>
  <si>
    <t>63B</t>
  </si>
  <si>
    <t>BIO-REP</t>
  </si>
  <si>
    <t>63C</t>
  </si>
  <si>
    <t>LADOPAR</t>
  </si>
  <si>
    <t>63D</t>
  </si>
  <si>
    <t>LABACTER</t>
  </si>
  <si>
    <t>63E</t>
  </si>
  <si>
    <t>NIAS</t>
  </si>
  <si>
    <t>73</t>
  </si>
  <si>
    <t>Oficina Rural</t>
  </si>
  <si>
    <t>75</t>
  </si>
  <si>
    <t>NEMA</t>
  </si>
  <si>
    <t>75A</t>
  </si>
  <si>
    <t>Agrotecnologia</t>
  </si>
  <si>
    <t>76A</t>
  </si>
  <si>
    <t>Viveiro Florestal</t>
  </si>
  <si>
    <t>76B</t>
  </si>
  <si>
    <t>Galpão de Sementes</t>
  </si>
  <si>
    <t>77</t>
  </si>
  <si>
    <t>Fitotecnia</t>
  </si>
  <si>
    <t>77B</t>
  </si>
  <si>
    <t>77C</t>
  </si>
  <si>
    <t>77D</t>
  </si>
  <si>
    <t>77H</t>
  </si>
  <si>
    <t>77I</t>
  </si>
  <si>
    <t>78</t>
  </si>
  <si>
    <t>Zootecnia</t>
  </si>
  <si>
    <t>81</t>
  </si>
  <si>
    <t>Avicultura</t>
  </si>
  <si>
    <t>81C</t>
  </si>
  <si>
    <t>81D</t>
  </si>
  <si>
    <t>81E</t>
  </si>
  <si>
    <t>81F</t>
  </si>
  <si>
    <t>81G</t>
  </si>
  <si>
    <t>82</t>
  </si>
  <si>
    <t>Bovino de Corte</t>
  </si>
  <si>
    <t>82A</t>
  </si>
  <si>
    <t>Cabanha de Ovinos</t>
  </si>
  <si>
    <t>83D</t>
  </si>
  <si>
    <t>Suinocultura</t>
  </si>
  <si>
    <t>84A</t>
  </si>
  <si>
    <t>Piscicultura</t>
  </si>
  <si>
    <t>84B</t>
  </si>
  <si>
    <t>84C</t>
  </si>
  <si>
    <t>85</t>
  </si>
  <si>
    <t>Laboratório da Várzea</t>
  </si>
  <si>
    <t>85A</t>
  </si>
  <si>
    <t>86</t>
  </si>
  <si>
    <t>Horticultura</t>
  </si>
  <si>
    <t>87</t>
  </si>
  <si>
    <t>Laboratório de Biotecnologia</t>
  </si>
  <si>
    <t>88</t>
  </si>
  <si>
    <t>Laboratório de Produção Florestal</t>
  </si>
  <si>
    <t>95</t>
  </si>
  <si>
    <t>Usina Escola de Alimentos</t>
  </si>
  <si>
    <t>96</t>
  </si>
  <si>
    <t>Tambo</t>
  </si>
  <si>
    <t>HVU</t>
  </si>
  <si>
    <t>97A</t>
  </si>
  <si>
    <t>97B</t>
  </si>
  <si>
    <t>97D</t>
  </si>
  <si>
    <t>Pró-Reitoria de Pós-Graduação e Pesquisa (PRPGP)</t>
  </si>
  <si>
    <t>98A</t>
  </si>
  <si>
    <t>Biotério</t>
  </si>
  <si>
    <t>98B</t>
  </si>
  <si>
    <t>20</t>
  </si>
  <si>
    <t>Patologia</t>
  </si>
  <si>
    <t>CCS</t>
  </si>
  <si>
    <t>26B</t>
  </si>
  <si>
    <t>Farmácia Escola</t>
  </si>
  <si>
    <t>26C</t>
  </si>
  <si>
    <t>Bioequivalência</t>
  </si>
  <si>
    <t>Terapia Ocupacional</t>
  </si>
  <si>
    <t>Fonoaudiologia</t>
  </si>
  <si>
    <t>Odontologia</t>
  </si>
  <si>
    <t>26G</t>
  </si>
  <si>
    <t>FARMACOS</t>
  </si>
  <si>
    <t>26H</t>
  </si>
  <si>
    <t>NUDEMA</t>
  </si>
  <si>
    <t>28</t>
  </si>
  <si>
    <t>Medicina</t>
  </si>
  <si>
    <t>Centro de Ciências Sociais e Humanas (CCSH)</t>
  </si>
  <si>
    <t>74A</t>
  </si>
  <si>
    <t>CCSH</t>
  </si>
  <si>
    <t>74B</t>
  </si>
  <si>
    <t>74C</t>
  </si>
  <si>
    <t>74D</t>
  </si>
  <si>
    <t>62C</t>
  </si>
  <si>
    <t>Museu do Conhecimento</t>
  </si>
  <si>
    <t>Centro de Educação (CE)</t>
  </si>
  <si>
    <t>CE</t>
  </si>
  <si>
    <t>16B</t>
  </si>
  <si>
    <t>51A</t>
  </si>
  <si>
    <t>Academia</t>
  </si>
  <si>
    <t>51B</t>
  </si>
  <si>
    <t>CDA</t>
  </si>
  <si>
    <t>Piscina</t>
  </si>
  <si>
    <t>55A</t>
  </si>
  <si>
    <t>Ginásio 3</t>
  </si>
  <si>
    <t>56</t>
  </si>
  <si>
    <t>Ginásio 2</t>
  </si>
  <si>
    <t>57</t>
  </si>
  <si>
    <t>Ginásio 1</t>
  </si>
  <si>
    <t>07</t>
  </si>
  <si>
    <t>CT</t>
  </si>
  <si>
    <t>09</t>
  </si>
  <si>
    <t>CT - Anexo</t>
  </si>
  <si>
    <t>09A</t>
  </si>
  <si>
    <t>Microeletrônica</t>
  </si>
  <si>
    <t>09B</t>
  </si>
  <si>
    <t>Engenharia Química</t>
  </si>
  <si>
    <t>09C</t>
  </si>
  <si>
    <t>CT- Anexo</t>
  </si>
  <si>
    <t>09D</t>
  </si>
  <si>
    <t>LABMOT</t>
  </si>
  <si>
    <t>09E</t>
  </si>
  <si>
    <t>INRI</t>
  </si>
  <si>
    <t>09F</t>
  </si>
  <si>
    <t>Arquitetura</t>
  </si>
  <si>
    <t>10</t>
  </si>
  <si>
    <t>Laboratórios</t>
  </si>
  <si>
    <t>10A</t>
  </si>
  <si>
    <t>LMCC</t>
  </si>
  <si>
    <t>11</t>
  </si>
  <si>
    <t>Planta Piloto Bioinsumos</t>
  </si>
  <si>
    <t>9H</t>
  </si>
  <si>
    <t>Hangar</t>
  </si>
  <si>
    <t>Pré-Escola</t>
  </si>
  <si>
    <t>Colégio Técnico Industrial de Santa Maria (CTISM)</t>
  </si>
  <si>
    <t>05</t>
  </si>
  <si>
    <t>CTISM</t>
  </si>
  <si>
    <t>05A</t>
  </si>
  <si>
    <t>Pavilhão de Máquinas 1</t>
  </si>
  <si>
    <t>05B</t>
  </si>
  <si>
    <t>Pavilhão de Máquinas 2</t>
  </si>
  <si>
    <t>05C</t>
  </si>
  <si>
    <t>05D</t>
  </si>
  <si>
    <t>05E</t>
  </si>
  <si>
    <t>Estúdio SAB</t>
  </si>
  <si>
    <t>55B</t>
  </si>
  <si>
    <t>Quadra Coberta</t>
  </si>
  <si>
    <t>Colégio Politécnico (POLI)</t>
  </si>
  <si>
    <t>70A</t>
  </si>
  <si>
    <t>Centro Administrativo</t>
  </si>
  <si>
    <t>70B</t>
  </si>
  <si>
    <t>Auditório</t>
  </si>
  <si>
    <t>70C</t>
  </si>
  <si>
    <t>Lab. de Computação Ubíqua, Móvel e Aplicada</t>
  </si>
  <si>
    <t>70D</t>
  </si>
  <si>
    <t>Lab. Informática / Salas de Aula</t>
  </si>
  <si>
    <t>70E</t>
  </si>
  <si>
    <t>Lab. Topografia e Geoprocessamento</t>
  </si>
  <si>
    <t>70F</t>
  </si>
  <si>
    <t>Lab. Redes, Manutenção, Informática</t>
  </si>
  <si>
    <t>70G</t>
  </si>
  <si>
    <t>Secretaria Escolar / Salas de Aula</t>
  </si>
  <si>
    <t>70H</t>
  </si>
  <si>
    <t>Restaurante / Salas de Aula</t>
  </si>
  <si>
    <t>71C</t>
  </si>
  <si>
    <t>Processamento de Frutas, Hortaliças e Panificação</t>
  </si>
  <si>
    <t>71D</t>
  </si>
  <si>
    <t>Carnes e Bebidas</t>
  </si>
  <si>
    <t>71E</t>
  </si>
  <si>
    <t>Usina Etanol</t>
  </si>
  <si>
    <t>71G</t>
  </si>
  <si>
    <t>Fruticultura</t>
  </si>
  <si>
    <t>71K</t>
  </si>
  <si>
    <t>Usina de Biodiesel</t>
  </si>
  <si>
    <t>71L</t>
  </si>
  <si>
    <t>Entreposto de Ovos</t>
  </si>
  <si>
    <t>71M</t>
  </si>
  <si>
    <t>Espécies Nativas e Práticas Ambientais</t>
  </si>
  <si>
    <t>71N</t>
  </si>
  <si>
    <t>Apicultura</t>
  </si>
  <si>
    <t>71O</t>
  </si>
  <si>
    <t>Compostagem</t>
  </si>
  <si>
    <t>71P</t>
  </si>
  <si>
    <t>Floricultura e Paisagismo</t>
  </si>
  <si>
    <t>71R</t>
  </si>
  <si>
    <t>Energias Alternativas</t>
  </si>
  <si>
    <t>72B</t>
  </si>
  <si>
    <t>Mecanização Agrícola</t>
  </si>
  <si>
    <t>72C</t>
  </si>
  <si>
    <t>72D</t>
  </si>
  <si>
    <t>Práticas Alimentares e Sensoriais</t>
  </si>
  <si>
    <t>72E</t>
  </si>
  <si>
    <t>Olericultura e Hidroponia</t>
  </si>
  <si>
    <t>72F</t>
  </si>
  <si>
    <t>Química / Física</t>
  </si>
  <si>
    <t>72G</t>
  </si>
  <si>
    <t>Área Agrícola</t>
  </si>
  <si>
    <t>Q4SA1</t>
  </si>
  <si>
    <t>Q4SA2</t>
  </si>
  <si>
    <t>Q4LANCH</t>
  </si>
  <si>
    <t>Q4LAB1</t>
  </si>
  <si>
    <t>Q4LAB2</t>
  </si>
  <si>
    <t>Q5SA1</t>
  </si>
  <si>
    <t>Q5SA2</t>
  </si>
  <si>
    <t>Q5LANCH</t>
  </si>
  <si>
    <t>Q5LAB1</t>
  </si>
  <si>
    <t>Q5LAB2</t>
  </si>
  <si>
    <t>Q15ALMOX1</t>
  </si>
  <si>
    <t>Q10CEU1</t>
  </si>
  <si>
    <t>Q13ADM1</t>
  </si>
  <si>
    <t>Q13RU1</t>
  </si>
  <si>
    <t>UERGS</t>
  </si>
  <si>
    <t>LAPOS</t>
  </si>
  <si>
    <t>ALMOX</t>
  </si>
  <si>
    <t>Campus Frederico Westphalen</t>
  </si>
  <si>
    <t>BL 1-2</t>
  </si>
  <si>
    <t>Blocos 1 e 2</t>
  </si>
  <si>
    <t>BL 3-4</t>
  </si>
  <si>
    <t>Blocos 3 e 4</t>
  </si>
  <si>
    <t>BL 5-6</t>
  </si>
  <si>
    <t>Blocos 5 e 6</t>
  </si>
  <si>
    <t>BL APOIO 1-2</t>
  </si>
  <si>
    <t>Bloco de Apoio 1 e 2</t>
  </si>
  <si>
    <t>BL APOIO 3-4</t>
  </si>
  <si>
    <t>Bloco de Apoio 3 e 4</t>
  </si>
  <si>
    <t>BL APOIO 5-6</t>
  </si>
  <si>
    <t>Bloco de Apoio 5 e 6</t>
  </si>
  <si>
    <t>BL APOIO 7</t>
  </si>
  <si>
    <t>Bloco de Apoio 7</t>
  </si>
  <si>
    <t>BL APOIO 13</t>
  </si>
  <si>
    <t>Lab. Biometria Vegetal</t>
  </si>
  <si>
    <t>CEU BL A</t>
  </si>
  <si>
    <t>Casa do Estudante</t>
  </si>
  <si>
    <t>CEU BL B</t>
  </si>
  <si>
    <t>ESTUDIO TV</t>
  </si>
  <si>
    <t>Estúdio TV</t>
  </si>
  <si>
    <t>Almoxarifado / Garagem</t>
  </si>
  <si>
    <t>MECANIZAÇÃO</t>
  </si>
  <si>
    <t>CONVIVÊNCIA</t>
  </si>
  <si>
    <t>Centro de Convivência</t>
  </si>
  <si>
    <t>QUIOSQUE</t>
  </si>
  <si>
    <t>Quiosque - Estudantes</t>
  </si>
  <si>
    <t>SERRARIA</t>
  </si>
  <si>
    <t>Serraria</t>
  </si>
  <si>
    <t>VIVEIRO</t>
  </si>
  <si>
    <t>Viveiro</t>
  </si>
  <si>
    <t>GUARITA</t>
  </si>
  <si>
    <t>Guarita FW</t>
  </si>
  <si>
    <t>Campus Palmeira das Missões</t>
  </si>
  <si>
    <t>BL 01</t>
  </si>
  <si>
    <t>Blocos 1-2-Anexo</t>
  </si>
  <si>
    <t>BL 02</t>
  </si>
  <si>
    <t>Blocos 3-4</t>
  </si>
  <si>
    <t>BL 03</t>
  </si>
  <si>
    <t>Salas de Aula (Pr. 3 - Bloco 6)</t>
  </si>
  <si>
    <t>BL 04</t>
  </si>
  <si>
    <t>Bloco 5 (Lab.)</t>
  </si>
  <si>
    <t>BL 07</t>
  </si>
  <si>
    <t>Lab. Anatomia</t>
  </si>
  <si>
    <t>BL 08</t>
  </si>
  <si>
    <t>Lab. Bromato, Química e Bioquímica</t>
  </si>
  <si>
    <t>BL 09</t>
  </si>
  <si>
    <t>Quiosque - Servidores</t>
  </si>
  <si>
    <t>BL 10</t>
  </si>
  <si>
    <t>Interface Planta-Animal</t>
  </si>
  <si>
    <t>BL 12</t>
  </si>
  <si>
    <t>Lab. Proc. Enf. / Saúde Pop. Rural</t>
  </si>
  <si>
    <t>BL 13</t>
  </si>
  <si>
    <t>CEMAEX (Biotério)</t>
  </si>
  <si>
    <t>BL 14</t>
  </si>
  <si>
    <t>Garagem e Galpão</t>
  </si>
  <si>
    <t>BL 15</t>
  </si>
  <si>
    <t>Lab. Apicultura</t>
  </si>
  <si>
    <t>BL 16</t>
  </si>
  <si>
    <t>Lab. Avicultura</t>
  </si>
  <si>
    <t>BL 18</t>
  </si>
  <si>
    <t>Lab. Nutrição Animal</t>
  </si>
  <si>
    <t>BL 19</t>
  </si>
  <si>
    <t>Lab. Bovino Leite</t>
  </si>
  <si>
    <t>BL 20</t>
  </si>
  <si>
    <t>BL 21</t>
  </si>
  <si>
    <t>BL 23</t>
  </si>
  <si>
    <t>Quiosque</t>
  </si>
  <si>
    <t>BL24</t>
  </si>
  <si>
    <t>Infraestrutura</t>
  </si>
  <si>
    <t>BL25</t>
  </si>
  <si>
    <t>Amb.Bem Estar Animal</t>
  </si>
  <si>
    <t>Guarita PM</t>
  </si>
  <si>
    <t>BL26</t>
  </si>
  <si>
    <t>Lab.Fisio.Mic./P.S.E.Ativ.Rural</t>
  </si>
  <si>
    <t>BL27</t>
  </si>
  <si>
    <t>Meliponicultura</t>
  </si>
  <si>
    <t>Pró-Reitoria de Inovação e Empreendedorismo (PROINOVA)</t>
  </si>
  <si>
    <t>61H</t>
  </si>
  <si>
    <t>60A</t>
  </si>
  <si>
    <t>02</t>
  </si>
  <si>
    <t>Reitoria</t>
  </si>
  <si>
    <t>Secretaria de Apoio Internacional (SAI)</t>
  </si>
  <si>
    <t>49</t>
  </si>
  <si>
    <t>Interhouse</t>
  </si>
  <si>
    <t>39</t>
  </si>
  <si>
    <t>Memorial Mariano da Rocha</t>
  </si>
  <si>
    <t>99A</t>
  </si>
  <si>
    <t>Central de Resíduos</t>
  </si>
  <si>
    <t>Pró-Reitoria de Planejamento (PROPLAN)</t>
  </si>
  <si>
    <t>62B</t>
  </si>
  <si>
    <t>Casa da Comunicação</t>
  </si>
  <si>
    <t>64C</t>
  </si>
  <si>
    <t>Almoxarifado Central</t>
  </si>
  <si>
    <t>64D</t>
  </si>
  <si>
    <t>74E</t>
  </si>
  <si>
    <t>laboratório de Humanidades</t>
  </si>
  <si>
    <t>48A</t>
  </si>
  <si>
    <t>Centro de Processamento de Dados</t>
  </si>
  <si>
    <t>67</t>
  </si>
  <si>
    <t>CAED</t>
  </si>
  <si>
    <t>01</t>
  </si>
  <si>
    <t>Guarita</t>
  </si>
  <si>
    <t>12</t>
  </si>
  <si>
    <t>Posto de Vigilância</t>
  </si>
  <si>
    <t>65J</t>
  </si>
  <si>
    <t>Mudança</t>
  </si>
  <si>
    <t>65Q</t>
  </si>
  <si>
    <t>Núcleo de Transportes</t>
  </si>
  <si>
    <t>65L</t>
  </si>
  <si>
    <t>Paisagismo</t>
  </si>
  <si>
    <t>65G</t>
  </si>
  <si>
    <t>Carpintaria</t>
  </si>
  <si>
    <t>65F</t>
  </si>
  <si>
    <t>Serralheria</t>
  </si>
  <si>
    <t>65A</t>
  </si>
  <si>
    <t>Marcenaria</t>
  </si>
  <si>
    <t>Imprensa Universitária (IU)</t>
  </si>
  <si>
    <t>06</t>
  </si>
  <si>
    <t>Gráfica</t>
  </si>
  <si>
    <t>Acervo Artístico</t>
  </si>
  <si>
    <t>45</t>
  </si>
  <si>
    <t>Planetário</t>
  </si>
  <si>
    <t>351</t>
  </si>
  <si>
    <t>Antiga Reitoria</t>
  </si>
  <si>
    <t>14</t>
  </si>
  <si>
    <t>CTE</t>
  </si>
  <si>
    <t>PROGRAD/PRAE</t>
  </si>
  <si>
    <t>48B</t>
  </si>
  <si>
    <t>NISA</t>
  </si>
  <si>
    <t>03</t>
  </si>
  <si>
    <t>Editora</t>
  </si>
  <si>
    <t>Espaço Multiuso</t>
  </si>
  <si>
    <t>354</t>
  </si>
  <si>
    <t>Garajão</t>
  </si>
  <si>
    <t>Museu Gama D'Eça</t>
  </si>
  <si>
    <t>352</t>
  </si>
  <si>
    <t>CEU-I</t>
  </si>
  <si>
    <t>Biblioteca Central</t>
  </si>
  <si>
    <t>31</t>
  </si>
  <si>
    <t>União Universitária</t>
  </si>
  <si>
    <t>32</t>
  </si>
  <si>
    <t>CEU-II</t>
  </si>
  <si>
    <t>33</t>
  </si>
  <si>
    <t>34</t>
  </si>
  <si>
    <t>35</t>
  </si>
  <si>
    <t>36</t>
  </si>
  <si>
    <t>37</t>
  </si>
  <si>
    <t>38</t>
  </si>
  <si>
    <t>CEU Indígena</t>
  </si>
  <si>
    <t xml:space="preserve">       CÁLCULO DE PRODUTIVIDADES DE LIMPEZA</t>
  </si>
  <si>
    <t>ÁREA (m²)</t>
  </si>
  <si>
    <t>REFERÊNCIA (m²/8h) ¹</t>
  </si>
  <si>
    <t>EFETIVA ²</t>
  </si>
  <si>
    <t>FREQUÊNCIA SEMANAL ³</t>
  </si>
  <si>
    <t>JORNADA SEMANAL</t>
  </si>
  <si>
    <t>POSTOS CALCULADOS</t>
  </si>
  <si>
    <t>VALOR UNITÁRIO DO POSTO</t>
  </si>
  <si>
    <t>VALOR TOTAL POSTO</t>
  </si>
  <si>
    <t>VALOR TOTAL ENCARREGADO</t>
  </si>
  <si>
    <t>VALOR POR M²</t>
  </si>
  <si>
    <t>600 - 750</t>
  </si>
  <si>
    <t>330 - 413</t>
  </si>
  <si>
    <t>1.350 - 1.688</t>
  </si>
  <si>
    <t>1.200 - 1.500</t>
  </si>
  <si>
    <t>800 - 1.000</t>
  </si>
  <si>
    <t>200 - 275</t>
  </si>
  <si>
    <t>110 - 138</t>
  </si>
  <si>
    <t>5143-15 ESQ.E 5x2 DIURNO SM</t>
  </si>
  <si>
    <r>
      <t xml:space="preserve">¹ Produtividades de referência estabelecidas a partir do Caderno de Logística do Governo Federal e Caderno Técnico de Prestação de Serviços de Limpeza, Asseio e Conservação Predial da Bolsa de Compras do Estado de São Paulo
² Produtividade efetiva ofertada pela LICITANTE
³ Calculada conforme o Termo de Referência
</t>
    </r>
    <r>
      <rPr>
        <vertAlign val="superscript"/>
        <sz val="9"/>
        <color theme="1"/>
        <rFont val="Calibri"/>
        <family val="2"/>
        <scheme val="minor"/>
      </rPr>
      <t>4</t>
    </r>
    <r>
      <rPr>
        <sz val="9"/>
        <color theme="1"/>
        <rFont val="Calibri"/>
        <family val="2"/>
        <scheme val="minor"/>
      </rPr>
      <t xml:space="preserve"> Quantidade efetiva de postos a suprir no contrato</t>
    </r>
  </si>
  <si>
    <t>FREQUÊNCIA SEMANAL</t>
  </si>
  <si>
    <t>VALOR ENCARREGADO</t>
  </si>
  <si>
    <t>5143-20 SRV.L 5x2 DIURNO CS</t>
  </si>
  <si>
    <t>¹ Produtividades de referência estabelecidas a partir do Caderno de Logística do Governo Federal e Caderno Técnico de Prestação de Serviços de Limpeza, Asseio e Conservação Predial da Bolsa de Compras do Estado de São Paulo
² Produtividade efetiva ofertada pela LICITANTE</t>
  </si>
  <si>
    <t>5143-20 SRV.L 5x2 DIURNO FW</t>
  </si>
  <si>
    <t>5143-20 AUX.LB 5x2 DIURNO FW</t>
  </si>
  <si>
    <t>5143-20 SVR.L 5x2 DIURNO PM</t>
  </si>
  <si>
    <t>5143-20 AUX.LB 5x2 DIURNO PM</t>
  </si>
  <si>
    <t>ENCARREGADOS</t>
  </si>
  <si>
    <t>QUANTIDADE CALCULADA</t>
  </si>
  <si>
    <t>QUANTIDADE EFETIVA</t>
  </si>
  <si>
    <t>VALOR DO POSTO</t>
  </si>
  <si>
    <t>1. ENCARREGADOS DAS ÁREAS - SANTA MARIA</t>
  </si>
  <si>
    <t>5143-20 ENC 5x2 DIURNO SM</t>
  </si>
  <si>
    <t>2. ENCARREGADOS DAS ÁREAS - CAMPI</t>
  </si>
  <si>
    <t>3. ENCARREGADOS DOS POSTOS</t>
  </si>
  <si>
    <t>TOTAL - ENCARREGADOS</t>
  </si>
  <si>
    <t>POSTOS</t>
  </si>
  <si>
    <t>VALOR DE REFERÊNCIA</t>
  </si>
  <si>
    <t>Categoria</t>
  </si>
  <si>
    <t>Evento</t>
  </si>
  <si>
    <t>Banheiros</t>
  </si>
  <si>
    <t>Administrativos</t>
  </si>
  <si>
    <t>Almoxarifados</t>
  </si>
  <si>
    <t>Oficinas</t>
  </si>
  <si>
    <t>Áreas Livres</t>
  </si>
  <si>
    <t>Pisos Acarpetados</t>
  </si>
  <si>
    <t>Limpeza de Pisos</t>
  </si>
  <si>
    <t>Varrer o piso com vassoura de microfibra.</t>
  </si>
  <si>
    <t>1,5 x por dia</t>
  </si>
  <si>
    <t>1 x por dia</t>
  </si>
  <si>
    <t>2x por semana</t>
  </si>
  <si>
    <t>1x por semana</t>
  </si>
  <si>
    <t>3x por semana</t>
  </si>
  <si>
    <t>N/A</t>
  </si>
  <si>
    <t>Passar pano úmido no piso com produtos adequados.</t>
  </si>
  <si>
    <t>1,5x por dia</t>
  </si>
  <si>
    <t>Lavar os pisos com detergente ou solução específica.</t>
  </si>
  <si>
    <t>1x por mês</t>
  </si>
  <si>
    <t>Limpeza completa de pisos utilizando máquinas e produtos adequados.</t>
  </si>
  <si>
    <t>1x por semestre</t>
  </si>
  <si>
    <t>Manutenção de Mobiliário</t>
  </si>
  <si>
    <t>Limpar, com pano úmido, o pó em mesas, armários, prateleiras e móveis.</t>
  </si>
  <si>
    <t>Lustrar mobiliário envernizado e passar flanela nos móveis encerados.</t>
  </si>
  <si>
    <t>Cuidados com Equipamentos</t>
  </si>
  <si>
    <t>Limpar forrações de fórmica, plástico, couro e similares em assentos e poltronas.</t>
  </si>
  <si>
    <t>Limpar teclados, telefones e computadores com produtos adequados.</t>
  </si>
  <si>
    <t>Manutenção de Ambientes</t>
  </si>
  <si>
    <t>Limpeza de forros, paredes e rodapés.</t>
  </si>
  <si>
    <t>Limpar luminárias, lâmpadas, aletas e difusores.</t>
  </si>
  <si>
    <t>Remover manchas de paredes e divisórias. (mofo)</t>
  </si>
  <si>
    <t>Gestão de Resíduos e Abastecimento</t>
  </si>
  <si>
    <t>Recolher lixo e substituição de sacos plásticos.</t>
  </si>
  <si>
    <t>1x por dia</t>
  </si>
  <si>
    <t>Abastecer lixeiras e mantê-las limpas.</t>
  </si>
  <si>
    <t>Higienização Especial</t>
  </si>
  <si>
    <t>Limpeza especial de áreas durante o período de férias.</t>
  </si>
  <si>
    <t>Higienizar bebedouros e suportes de água.</t>
  </si>
  <si>
    <t>Outros</t>
  </si>
  <si>
    <t>Limpar espelhos com pano umedecido em álcool.</t>
  </si>
  <si>
    <t>Limpar maçanetas e portas internas com desinfetante.</t>
  </si>
  <si>
    <t>DADOS DAS CCT'S POR LOCALIDADE DE PRESTAÇÃO DOS SERVIÇOS</t>
  </si>
  <si>
    <t>SINTEPS/RS</t>
  </si>
  <si>
    <t>NÚMERO</t>
  </si>
  <si>
    <t>RS000042/2024</t>
  </si>
  <si>
    <t>DATA BASE</t>
  </si>
  <si>
    <t>SALÁRIO 5143 LIMPEZA</t>
  </si>
  <si>
    <t>SALÁRIO 5143 LIMPEZA ESQ EXT</t>
  </si>
  <si>
    <t>SALÁRIO 5142 COLETA</t>
  </si>
  <si>
    <t>SALÁRIO 5143 SUPERVISOR</t>
  </si>
  <si>
    <t>SALÁRIO MÍNIMO</t>
  </si>
  <si>
    <t>% ADICIONAL DE RISCO/AJUDA DE CUSTO</t>
  </si>
  <si>
    <t>VALE TRANSPORTE</t>
  </si>
  <si>
    <t>% USO VALE TRANSPORTE</t>
  </si>
  <si>
    <t>VALE ALIMENTAÇÃO</t>
  </si>
  <si>
    <t>VALE LANCHE</t>
  </si>
  <si>
    <t>% DESCONTO VA/VL</t>
  </si>
  <si>
    <t>PLANO DE BENEFÍCIO SOCIAL FAMILIAR</t>
  </si>
  <si>
    <t>ALÍQUOTA ISS</t>
  </si>
  <si>
    <t>ALÍQUOTA PIS</t>
  </si>
  <si>
    <t>ALÍQUOTA COFINS</t>
  </si>
  <si>
    <t>RAT</t>
  </si>
  <si>
    <t>FAP</t>
  </si>
  <si>
    <t>ÍNDICE DE REAJUSTE CCT</t>
  </si>
  <si>
    <t>SEEAC/RS</t>
  </si>
  <si>
    <t>RS004917/2023</t>
  </si>
  <si>
    <t>SINDILIMP/RS</t>
  </si>
  <si>
    <t>RS000044/2024</t>
  </si>
  <si>
    <t>SALÁRIO 5174-15 AGENTE DE PORTARIA</t>
  </si>
  <si>
    <t xml:space="preserve">                 AVALIAÇÃO DA PROVA DE CONCEITO</t>
  </si>
  <si>
    <t>Licitante:</t>
  </si>
  <si>
    <t>CNPJ:</t>
  </si>
  <si>
    <t>Data da avaliação:</t>
  </si>
  <si>
    <t>Tipo de área avaliada:</t>
  </si>
  <si>
    <t>Produtividade ofertada:</t>
  </si>
  <si>
    <t>Área a limpar:</t>
  </si>
  <si>
    <t>Nº de funcionários alocados:</t>
  </si>
  <si>
    <t>Limite de tempo (min):</t>
  </si>
  <si>
    <t>Tolerância (min):</t>
  </si>
  <si>
    <t>Qualidade do serviço</t>
  </si>
  <si>
    <t>Tempo realizado</t>
  </si>
  <si>
    <t>Item</t>
  </si>
  <si>
    <t>Fiscal 1</t>
  </si>
  <si>
    <t>Fiscal 2</t>
  </si>
  <si>
    <t>Fiscal 3</t>
  </si>
  <si>
    <t>MÉDIA</t>
  </si>
  <si>
    <t>Pisos/carpetes</t>
  </si>
  <si>
    <t>Rodapés e forros</t>
  </si>
  <si>
    <t>Superfícies verticais e horizontais</t>
  </si>
  <si>
    <t>Lixeiras</t>
  </si>
  <si>
    <t>MÉDIA FINAL</t>
  </si>
  <si>
    <t>RESULTADO FINAL:  (   ) APROVADA          (   ) REPROVADA          (   ) REALIZAR AJUSTE DE PLANILHA</t>
  </si>
  <si>
    <r>
      <rPr>
        <b/>
        <sz val="14"/>
        <color theme="1"/>
        <rFont val="Calibri"/>
        <family val="2"/>
        <scheme val="minor"/>
      </rPr>
      <t>Escala de avaliação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5 - Nível Impecável</t>
    </r>
    <r>
      <rPr>
        <sz val="11"/>
        <color theme="1"/>
        <rFont val="Calibri"/>
        <family val="2"/>
        <scheme val="minor"/>
      </rPr>
      <t xml:space="preserve">
    • Os pisos e rodapés brilham e/ou estão claros e limpos; as cores são vivas. Não há acúmulo de sujeira/poeira nos cantos ou ao longo das paredes.
    • Todas as superfícies verticais e horizontais têm uma aparência recém-limpa ou polida e não possuem acúmulo de poeira, sujeira, marcas, listras, manchas ou impressões digitais.
    • Os azulejos e acessórios dos banheiros e chuveiros brilham e não têm odor. Os suprimentos são repostos adequadamente.
    • Os recipientes de lixo e apontadores de lápis estão vazios, limpos e sem odor.
</t>
    </r>
    <r>
      <rPr>
        <b/>
        <sz val="11"/>
        <color theme="1"/>
        <rFont val="Calibri"/>
        <family val="2"/>
        <scheme val="minor"/>
      </rPr>
      <t xml:space="preserve">4 - Nível Asseio Normal
</t>
    </r>
    <r>
      <rPr>
        <sz val="11"/>
        <color theme="1"/>
        <rFont val="Calibri"/>
        <family val="2"/>
        <scheme val="minor"/>
      </rPr>
      <t xml:space="preserve">    • Superfícies limpas, mas com brilho reduzido.
    • Pouco acúmulo de pó, sujeira ou marcas.
    • Banheiros e outras amenidades limpos e abastecidos, com pequenas exceções.
    • Lixeiras com pouco lixo.
</t>
    </r>
    <r>
      <rPr>
        <b/>
        <sz val="11"/>
        <color theme="1"/>
        <rFont val="Calibri"/>
        <family val="2"/>
        <scheme val="minor"/>
      </rPr>
      <t xml:space="preserve">3 - Nível Desatenção Casual
</t>
    </r>
    <r>
      <rPr>
        <sz val="11"/>
        <color theme="1"/>
        <rFont val="Calibri"/>
        <family val="2"/>
        <scheme val="minor"/>
      </rPr>
      <t xml:space="preserve">    • Superfícies limpas, mas sem brilho e com desgaste visível.
    • Poeira, sujeira e marcas perceptíveis após inspeção atenta.
    • Banheiros e outras amenidades usados, mas não insalubres.
    • Lixeiras com lixo, mas não transbordando.
</t>
    </r>
    <r>
      <rPr>
        <b/>
        <sz val="11"/>
        <color theme="1"/>
        <rFont val="Calibri"/>
        <family val="2"/>
        <scheme val="minor"/>
      </rPr>
      <t xml:space="preserve">2 - Nível Sujeira Moderada
</t>
    </r>
    <r>
      <rPr>
        <sz val="11"/>
        <color theme="1"/>
        <rFont val="Calibri"/>
        <family val="2"/>
        <scheme val="minor"/>
      </rPr>
      <t xml:space="preserve">    • Superfícies opacas e/ou riscadas, com limpeza irregular.
    • Poeira, sujeira e marcas óbvias.
    • Banheiros e outras amenidades não muito limpos ou abastecidos.
    • Lixeiras cheias ou transbordando.
</t>
    </r>
    <r>
      <rPr>
        <b/>
        <sz val="11"/>
        <color theme="1"/>
        <rFont val="Calibri"/>
        <family val="2"/>
        <scheme val="minor"/>
      </rPr>
      <t xml:space="preserve">1 - Nível Descuido Negligente
</t>
    </r>
    <r>
      <rPr>
        <sz val="11"/>
        <color theme="1"/>
        <rFont val="Calibri"/>
        <family val="2"/>
        <scheme val="minor"/>
      </rPr>
      <t xml:space="preserve">    • Superfícies sujas, empoeiradas e/ou danificadas.
    • Sujeira, pó e lixo generalizados e óbvios.
    • Banheiros e outras amenidades sujos e mal abastecidos.
    • Odores desagradáveis perceptíveis.</t>
    </r>
  </si>
  <si>
    <t>Assinaturas:</t>
  </si>
  <si>
    <t>PLANILHA DE CUSTOS E FORMAÇÃO DE PREÇOS</t>
  </si>
  <si>
    <t>Número do processo:</t>
  </si>
  <si>
    <t>Número da licitação:</t>
  </si>
  <si>
    <t>Data da licitação:</t>
  </si>
  <si>
    <t>DISCRIMINAÇÃO DOS SERVIÇOS</t>
  </si>
  <si>
    <t>A</t>
  </si>
  <si>
    <t>Data de Apresentação da Proposta</t>
  </si>
  <si>
    <t>B</t>
  </si>
  <si>
    <t>Município de Prestação dos Serviços</t>
  </si>
  <si>
    <t>C</t>
  </si>
  <si>
    <t>Acordo, Convenção ou Dissídio Coletivo Vigente</t>
  </si>
  <si>
    <t>D</t>
  </si>
  <si>
    <t>Número de Meses de Execução Contratual</t>
  </si>
  <si>
    <t>E</t>
  </si>
  <si>
    <t>Data Base da Categoria</t>
  </si>
  <si>
    <t>F</t>
  </si>
  <si>
    <t>TIPO DE SERVIÇO</t>
  </si>
  <si>
    <t>5143 - Trabalhadores nos serviços de manutenção de edificações</t>
  </si>
  <si>
    <t>G</t>
  </si>
  <si>
    <t>CLASSIFICAÇÃO BRASILEIRA DE OCUPAÇÕES (CBO)</t>
  </si>
  <si>
    <t>5143-20</t>
  </si>
  <si>
    <t>H</t>
  </si>
  <si>
    <t>CARGO</t>
  </si>
  <si>
    <t>LIMPADOR VIDROS E FACHADAS EXTERNAS</t>
  </si>
  <si>
    <t>I</t>
  </si>
  <si>
    <t>IDENTIFICAÇÃO DO POSTO</t>
  </si>
  <si>
    <t>J</t>
  </si>
  <si>
    <t>HORÁRIOS</t>
  </si>
  <si>
    <t>SEG-SEX 07:00 -16:00</t>
  </si>
  <si>
    <t>K</t>
  </si>
  <si>
    <t>MÉDIA DE DIAS DE SERVIÇO</t>
  </si>
  <si>
    <t>L</t>
  </si>
  <si>
    <t>SALÁRIO NORMATIVO DA CATEGORIA (44H SEMANAIS - 220H MENSAIS)</t>
  </si>
  <si>
    <t>M</t>
  </si>
  <si>
    <t>VALOR DA HORA TRABALHADA</t>
  </si>
  <si>
    <t>N</t>
  </si>
  <si>
    <t>VALOR DA HORA EXTRA 50%</t>
  </si>
  <si>
    <t>O</t>
  </si>
  <si>
    <t>VALOR DA HORA EXTRA 100%</t>
  </si>
  <si>
    <t>P</t>
  </si>
  <si>
    <t>VALOR DO ADICIONAL NOTURNO</t>
  </si>
  <si>
    <t>MÓDULO 1 - COMPOSIÇÃO DA REMUNERAÇÃO</t>
  </si>
  <si>
    <t>VALOR</t>
  </si>
  <si>
    <t>1.A</t>
  </si>
  <si>
    <t>Salário-Base¹</t>
  </si>
  <si>
    <t>1.B</t>
  </si>
  <si>
    <t>Adicional de Periculosidade</t>
  </si>
  <si>
    <t>1.C</t>
  </si>
  <si>
    <t>Adicional de Insalubridade</t>
  </si>
  <si>
    <t>1.D</t>
  </si>
  <si>
    <t>Adicional Noturno</t>
  </si>
  <si>
    <t>1.E</t>
  </si>
  <si>
    <t>Adicional de Hora Noturna Reduzida</t>
  </si>
  <si>
    <t>Remuneração 1 - remuneração com incidência de INSS, FGTS, Férias, 13º, etc.</t>
  </si>
  <si>
    <t>1.G</t>
  </si>
  <si>
    <t>Intervalo Intrajornada Indenizado</t>
  </si>
  <si>
    <t>1.H</t>
  </si>
  <si>
    <t>Adicional de Risco/Ajuda de custo</t>
  </si>
  <si>
    <t>1.I</t>
  </si>
  <si>
    <t>Outros (especificar)</t>
  </si>
  <si>
    <t>SUBTOTAL</t>
  </si>
  <si>
    <t>MÓDULO 2 - ENCARGOS E BENEFÍCIOS ANUAIS, MENSAIS E DIÁRIOS</t>
  </si>
  <si>
    <t>SUBMÓDULO 2.1 - DÉCIMO TERCEIRO SALÁRIO E ADICIONAL DE FÉRIAS²</t>
  </si>
  <si>
    <t>2.1.A</t>
  </si>
  <si>
    <t>13º Salário</t>
  </si>
  <si>
    <t>2.1.B</t>
  </si>
  <si>
    <t>Adicional de Férias</t>
  </si>
  <si>
    <t>2 - Como a planilha de custos e formação de preços é calculada mensalmente, provisiona-se proporcionalmente 1/12 (um doze avos) dos valores referentes à gratificação natalina e adicional de férias. A incidência do submódulo 2.2 sobre o submódulo 2.1 está considerada no próprio submódulo 2.2.</t>
  </si>
  <si>
    <t>SUBMÓDULO 2.2 - GPS, FGTS E OUTRAS CONTRIBUIÇÕES³</t>
  </si>
  <si>
    <t>2.2.A</t>
  </si>
  <si>
    <t>INSS</t>
  </si>
  <si>
    <t>2.2.B</t>
  </si>
  <si>
    <t>Salário Educação</t>
  </si>
  <si>
    <t>2.2.E</t>
  </si>
  <si>
    <t>RAT x FAP⁴</t>
  </si>
  <si>
    <t>2.2.F</t>
  </si>
  <si>
    <t>SESC/SESI</t>
  </si>
  <si>
    <t>2.2.G</t>
  </si>
  <si>
    <t>SENAC/SENAI</t>
  </si>
  <si>
    <t>2.2.H</t>
  </si>
  <si>
    <t>SEBRAE</t>
  </si>
  <si>
    <t>2.2.I</t>
  </si>
  <si>
    <t>INCRA</t>
  </si>
  <si>
    <t>2.2.J</t>
  </si>
  <si>
    <t>FGTS</t>
  </si>
  <si>
    <t>2.2.K</t>
  </si>
  <si>
    <t>OUTROS (ESPECIFICAR)</t>
  </si>
  <si>
    <t xml:space="preserve">3 - Os encargos previdenciários, FGTS e outras contribuições são estabelecidos pela legislação vigente.
4 - RAT e FAP dependem do grau de risco e índices de acidentes do trabalho da empresa. </t>
  </si>
  <si>
    <t>SUBMÓDULO 2.3 - BENEFÍCIOS MENSAIS E DIÁRIOS</t>
  </si>
  <si>
    <t>2.3.A</t>
  </si>
  <si>
    <t>Transporte</t>
  </si>
  <si>
    <t>2.3.A.1</t>
  </si>
  <si>
    <t>Valor da passagem do transporte coletivo no município</t>
  </si>
  <si>
    <t>2.3.A.2</t>
  </si>
  <si>
    <t>Quantidade de passagens por dia</t>
  </si>
  <si>
    <t>2.3.A.3</t>
  </si>
  <si>
    <t>Quantidade de dias do mês de recebimento de passagens⁵</t>
  </si>
  <si>
    <t>2.3.A.4</t>
  </si>
  <si>
    <t>Participação do empregado em percentual do salário-base</t>
  </si>
  <si>
    <t>2.3.A.5</t>
  </si>
  <si>
    <t>Percentual de colaboradores optantes do VT (média total do contrato)⁶</t>
  </si>
  <si>
    <t>2.3.B</t>
  </si>
  <si>
    <t>Auxílio Refeição/Alimentação</t>
  </si>
  <si>
    <t>2.3.B.1</t>
  </si>
  <si>
    <t>Valor do auxílio</t>
  </si>
  <si>
    <t>2.3.B.2</t>
  </si>
  <si>
    <t>Quantidade de dias do mês de recebimento do auxílio</t>
  </si>
  <si>
    <t>2.3.B.3</t>
  </si>
  <si>
    <t>Participação do empregado em percentual sobre o auxílio</t>
  </si>
  <si>
    <t>2.3.C</t>
  </si>
  <si>
    <t>Assistência Médica e Familiar/Plano de Benefício Social Familiar</t>
  </si>
  <si>
    <t>2.3.D</t>
  </si>
  <si>
    <t>Auxílio Creche</t>
  </si>
  <si>
    <t>2.3.E</t>
  </si>
  <si>
    <t>RESUMO MÓDULO 2</t>
  </si>
  <si>
    <t>2.1</t>
  </si>
  <si>
    <t>13º Salário e Adicional de Férias</t>
  </si>
  <si>
    <t>2.2</t>
  </si>
  <si>
    <t>GPS, FGTS e outras contribuições</t>
  </si>
  <si>
    <t>2.3</t>
  </si>
  <si>
    <t>Benefícios mensais e diários</t>
  </si>
  <si>
    <t>MÓDULO 3 - PROVISÃO PARA RESCISÃO⁷</t>
  </si>
  <si>
    <t>3.A</t>
  </si>
  <si>
    <t>API - Aviso Prévio Indenizado</t>
  </si>
  <si>
    <t>3.B</t>
  </si>
  <si>
    <t>Incidência do FGTS sobre API</t>
  </si>
  <si>
    <t>3.C</t>
  </si>
  <si>
    <t>Multa sobre FGTS e Contribuições Sociais sobre API</t>
  </si>
  <si>
    <t>3.D</t>
  </si>
  <si>
    <t>% API a manter (Custos não renováveis)</t>
  </si>
  <si>
    <t>3.E</t>
  </si>
  <si>
    <t>APT - Aviso Prévio Trabalhado</t>
  </si>
  <si>
    <t>Incidência dos Encargos do Submódulo 2.2 sobre APT</t>
  </si>
  <si>
    <t>Multa sobre FGTS e Contribuições Sociais sobre APT</t>
  </si>
  <si>
    <t>3.F</t>
  </si>
  <si>
    <t>% APT a manter (Custos não renováveis)</t>
  </si>
  <si>
    <t>7-Considerado % de API conforme estatística do STF, inficado no acórdão TCU nº 1904/2007. Considerou-se estimativa de 90% de APT e o restante saídas por demissões ou outros motivos. Para a provisão deve ser considerado o período de execução contratual (12 meses). As linhas destacadas se alteram na prorrogação contratual conforme avaliação dos Custos Não-Renováveis.</t>
  </si>
  <si>
    <t>MÓDULO 4 - CUSTO DE REPOSIÇÃO DO PROFISSIONAL AUSENTE</t>
  </si>
  <si>
    <t>BCCPA - Base de Cálculo para o Custo de reposição do Profissional Ausente</t>
  </si>
  <si>
    <t>SUBMÓDULO 4.1 - SUBSTITUTO NAS AUSÊNCIAS LEGAIS⁸</t>
  </si>
  <si>
    <t>4.1.A</t>
  </si>
  <si>
    <t>Substituto na Cobertura de Férias</t>
  </si>
  <si>
    <t>4.1.B</t>
  </si>
  <si>
    <t>Substituto na Cobertura de Ausências Legais</t>
  </si>
  <si>
    <t>4.1.C</t>
  </si>
  <si>
    <t>Substituto na Cobertura de Licença-Paternidade</t>
  </si>
  <si>
    <t>4.1.D</t>
  </si>
  <si>
    <t>Substituto na Cobertura de Ausência por Acidente de Trabalho</t>
  </si>
  <si>
    <t>4.1.E</t>
  </si>
  <si>
    <t>Substituto na Cobertura de Afastamento-Maternidade</t>
  </si>
  <si>
    <t>4.1.F</t>
  </si>
  <si>
    <t>Substituto na Cobertura de Ausência por Doença</t>
  </si>
  <si>
    <t>4.1.G</t>
  </si>
  <si>
    <t>Substituto na Cobertura de Outras Ausências (especificar)</t>
  </si>
  <si>
    <t>4.1.H</t>
  </si>
  <si>
    <t>Incidência do submódulo 2.2 sobre o submódulo 4.1</t>
  </si>
  <si>
    <t>8 - Para o submódulo 4.1:
  Item 4.1.B refere-se à estimativa de dias de afastamento por ausências legais no ano
  Item 4.1.C considera 1,5% dos empregados usufruindo 5 dias de licença paternidade no ano
  Item 4.1.E considera 2,0% dos empregados usufruindo 5 dias de licença maternidade no ano
  Item 4.1.F considera a estimativa de 3 dias de ausência por doença no ano</t>
  </si>
  <si>
    <t>SUBMÓDULO 4.2 - SUBSTITUTO NA INTRAJORNADA</t>
  </si>
  <si>
    <t>4.2.A</t>
  </si>
  <si>
    <t>Substituto na Cobertura de Intervalo para Repouso ou Alimentação</t>
  </si>
  <si>
    <t>4.2.B</t>
  </si>
  <si>
    <t>Incidência do submódulo 2.2 sobre o submódulo 4.2</t>
  </si>
  <si>
    <t>RESUMO MÓDULO 4</t>
  </si>
  <si>
    <t>4.1</t>
  </si>
  <si>
    <t>Substituto nas Ausências Legais</t>
  </si>
  <si>
    <t>4.2</t>
  </si>
  <si>
    <t>Substituto na Intrajornada</t>
  </si>
  <si>
    <t>MÓDULO 5 - INSUMOS DIVERSOS</t>
  </si>
  <si>
    <t>5.A</t>
  </si>
  <si>
    <t>Uniformes e EPIs</t>
  </si>
  <si>
    <t>5.B</t>
  </si>
  <si>
    <t>Materiais</t>
  </si>
  <si>
    <t>5.C</t>
  </si>
  <si>
    <t>Insumos e utensílios</t>
  </si>
  <si>
    <t>5.D</t>
  </si>
  <si>
    <t>Equipamentos</t>
  </si>
  <si>
    <t>MÓDULO 6 - CUSTOS INDIRETOS, LUCROS E TRIBUTOS</t>
  </si>
  <si>
    <t>BCCI - Base de Cálculo dos Custos Indiretos</t>
  </si>
  <si>
    <t>6.A</t>
  </si>
  <si>
    <t>Custos Indiretos</t>
  </si>
  <si>
    <t>6.B</t>
  </si>
  <si>
    <t>Lucro</t>
  </si>
  <si>
    <t>BCT - Base de Cálculo dos Tributos</t>
  </si>
  <si>
    <t>6.C.1</t>
  </si>
  <si>
    <t>COFINS</t>
  </si>
  <si>
    <t>6.C.2</t>
  </si>
  <si>
    <t>PIS</t>
  </si>
  <si>
    <t>6.C.3</t>
  </si>
  <si>
    <t>Tributos Estaduais (Especificar)</t>
  </si>
  <si>
    <t>6.C.4</t>
  </si>
  <si>
    <t>Tributos Municipais (ISS)</t>
  </si>
  <si>
    <t>QUADRO RESUMO DO CUSTO POR EMPREGADO</t>
  </si>
  <si>
    <t>Módulo 1 - Composição da Remuneração</t>
  </si>
  <si>
    <t>Módulo 2 - Encargos e Benefícios Anuais, Mensais e Diários</t>
  </si>
  <si>
    <t>Módulo 3 - Provisão para Rescisão</t>
  </si>
  <si>
    <t>Módulo 4 - Custo de Reposição do Profissional Ausente</t>
  </si>
  <si>
    <t xml:space="preserve">Módulo 5 - Insumo Diversos </t>
  </si>
  <si>
    <t>Módulo 6 - Custos Indiretos, Lucro e Tributos</t>
  </si>
  <si>
    <t>VALOR TOTAL POR EMPREGADO</t>
  </si>
  <si>
    <t>NÚMERO DE EMPREGADOS POR POSTO</t>
  </si>
  <si>
    <t>VALOR TOTAL DO POSTO</t>
  </si>
  <si>
    <t>FATOR K</t>
  </si>
  <si>
    <t>INFORMAÇÕES PARA GLOSAS</t>
  </si>
  <si>
    <t>VALOR-DIA DO POSTO, POR EMPREGADO</t>
  </si>
  <si>
    <t>SERVENTE DE LIMPEZA</t>
  </si>
  <si>
    <t>AUXILIAR DE LIMPEZA - BANHEIROS</t>
  </si>
  <si>
    <t>AUXILIAR DE LIMPEZA - HOSPITALAR</t>
  </si>
  <si>
    <t>5143-30</t>
  </si>
  <si>
    <t>LIMPADOR DE PISCINA</t>
  </si>
  <si>
    <t>5142 - Trabalhadores nos serviços de coleta de resíduos, de limpeza e conservação de áreas públicas</t>
  </si>
  <si>
    <t>5142-05</t>
  </si>
  <si>
    <t>AGENTE DE COLETA DE LIXO</t>
  </si>
  <si>
    <t>5142-30</t>
  </si>
  <si>
    <t>COLETOR DE RESÍDUOS DA SAÚDE</t>
  </si>
  <si>
    <t>ENCARREGADO DE LIMPEZA</t>
  </si>
  <si>
    <t>AUXILIAR DE LIMPEZA</t>
  </si>
  <si>
    <t>ITEM</t>
  </si>
  <si>
    <t>VL. UNITÁRIO</t>
  </si>
  <si>
    <t>VL. ANUAL</t>
  </si>
  <si>
    <t>PAR</t>
  </si>
  <si>
    <t>00 - INICIAL CONTRATO</t>
  </si>
  <si>
    <t>VL. MENSAL</t>
  </si>
  <si>
    <t>ESCALAS E HORÁRIOS PARA A PRESTAÇÃO DOS SERVIÇOS</t>
  </si>
  <si>
    <t>ESCALA</t>
  </si>
  <si>
    <t>TURNO</t>
  </si>
  <si>
    <t>CARGA HORÁRIA MENSAL (h)</t>
  </si>
  <si>
    <t>CARGA HORÁRIA SEMANAL (h)</t>
  </si>
  <si>
    <t>CH DIÁRIA</t>
  </si>
  <si>
    <t>HORÁRIO</t>
  </si>
  <si>
    <t>5x2 40H</t>
  </si>
  <si>
    <t>DIURNO</t>
  </si>
  <si>
    <t>8h</t>
  </si>
  <si>
    <t>O trabalho é realizado por uma pessoa, normalmente de segunda a sexta-feira, com uma hora de intervalo intrajornada obrigatório. 
Podem ocorrer atividades nos finais de semana, com duas folgas durante a semana que não precisam ser consecutivas.</t>
  </si>
  <si>
    <t>5x2 44H</t>
  </si>
  <si>
    <t>07:00 - 16:48
12:00 - 21:48</t>
  </si>
  <si>
    <t>8h 48m</t>
  </si>
  <si>
    <t>O trabalho é realizado por uma pessoa, de segunda a sexta-feira, com uma hora de intervalo intrajornada obrigatório. 
Podem ocorrer atividades nos finais de semana, com duas folgas durante a semana que não precisam ser consecutivas.</t>
  </si>
  <si>
    <t>6x1 44H</t>
  </si>
  <si>
    <t>seg-sex
8h
sab
4h</t>
  </si>
  <si>
    <t>O trabalho é realizado por uma pessoa, 8 horas diárias de segunda a sexta-feira, com uma hora de intervalo intrajornada obrigatório e 4 horas no sábado. 
Podem ocorrer atividades nos finais de semana, com folga durante a semana.</t>
  </si>
  <si>
    <t>ÁREAS</t>
  </si>
  <si>
    <t>SIGLAS</t>
  </si>
  <si>
    <t>UNIDADES</t>
  </si>
  <si>
    <t>GRUPO</t>
  </si>
  <si>
    <t>S_GRUPO</t>
  </si>
  <si>
    <t>GRUPOS</t>
  </si>
  <si>
    <t>TERMOS</t>
  </si>
  <si>
    <t>TIPOS DE ÁREA</t>
  </si>
  <si>
    <t>TIPOS DE POSTOS</t>
  </si>
  <si>
    <t>SM</t>
  </si>
  <si>
    <t>CS</t>
  </si>
  <si>
    <t>FW</t>
  </si>
  <si>
    <t>PM</t>
  </si>
  <si>
    <t>SVM</t>
  </si>
  <si>
    <t>SJP</t>
  </si>
  <si>
    <t>5174-15 AG.P 12x36 DIURNO SM</t>
  </si>
  <si>
    <t>PRA</t>
  </si>
  <si>
    <t>RE</t>
  </si>
  <si>
    <t xml:space="preserve">1.1. </t>
  </si>
  <si>
    <t>5174-15 AG.P 12x36 NOTURNO SM</t>
  </si>
  <si>
    <t>PRAE</t>
  </si>
  <si>
    <t>5174-15 AG.P 6x1 12H DIURNO SM</t>
  </si>
  <si>
    <t>PRE</t>
  </si>
  <si>
    <t>CCR</t>
  </si>
  <si>
    <t>5143-20 AUX.LH 5x2 DIURNO SM</t>
  </si>
  <si>
    <t>5174-15 AG.P 5x2 4H NOTURNO SM</t>
  </si>
  <si>
    <t>PROGEP</t>
  </si>
  <si>
    <t>5143-30 LMP.P 5x2 DIURNO SM</t>
  </si>
  <si>
    <t>5174-15 SUP 6x1 44H DIURNO SM</t>
  </si>
  <si>
    <t>PROGRAD</t>
  </si>
  <si>
    <t>5174-15 SUP 6x1 44H NOTURNO SM</t>
  </si>
  <si>
    <t>PROINFRA</t>
  </si>
  <si>
    <t>5174-15 AG.P 5x2 12H DIURNO CS</t>
  </si>
  <si>
    <t>PROPLAN</t>
  </si>
  <si>
    <t>5174-15 AG.P 5x2 4H NOTURNO CS</t>
  </si>
  <si>
    <t>PRPGP</t>
  </si>
  <si>
    <t>5174-15 AG.P 6x1 12H DIURNO FW</t>
  </si>
  <si>
    <t>UE</t>
  </si>
  <si>
    <t>POLI</t>
  </si>
  <si>
    <t>Colégio Politécnico</t>
  </si>
  <si>
    <t>5174-15 AG.P 5x2 4H NOTURNO FW</t>
  </si>
  <si>
    <t>5174-15 AG.P 6x1 12H DIURNO PM</t>
  </si>
  <si>
    <t>UEIIA</t>
  </si>
  <si>
    <t>Unidade de Educação Infantil Ipê Amarelo</t>
  </si>
  <si>
    <t>5174-15 AG.P 5x2 4H NOTURNO PM</t>
  </si>
  <si>
    <t>CCSUL</t>
  </si>
  <si>
    <t>5174-15 AG.P 6x1 12H DIURNO SVM</t>
  </si>
  <si>
    <t>CFW</t>
  </si>
  <si>
    <t>CPM</t>
  </si>
  <si>
    <t>Unidades de Ensino</t>
  </si>
  <si>
    <t>GR</t>
  </si>
  <si>
    <t>Gabinete do Reitor</t>
  </si>
  <si>
    <t>PROINOVA</t>
  </si>
  <si>
    <t>EMUFSM</t>
  </si>
  <si>
    <t>Espaço Multidisciplinar da UFSM em Silveira Martins</t>
  </si>
  <si>
    <t>DIPAT</t>
  </si>
  <si>
    <t>Divisão de Patrimônio</t>
  </si>
  <si>
    <t>CSG</t>
  </si>
  <si>
    <t>Coordenadoria de Serviços Gerais</t>
  </si>
  <si>
    <t>IU</t>
  </si>
  <si>
    <t>Imprensa Universitária</t>
  </si>
  <si>
    <t>SI</t>
  </si>
  <si>
    <t>Setor de Importações</t>
  </si>
  <si>
    <t>CM</t>
  </si>
  <si>
    <t>Coordenadoria de Manutenção</t>
  </si>
  <si>
    <t>Núcleo de Ingresso e Seleção Acadêmicos</t>
  </si>
  <si>
    <t>COREM</t>
  </si>
  <si>
    <t>Coordenadoria de Registro e Matrícula</t>
  </si>
  <si>
    <t>NT</t>
  </si>
  <si>
    <t>Departamento de Arquivo Geral</t>
  </si>
  <si>
    <t>DO</t>
  </si>
  <si>
    <t>Departamento de Odontologia</t>
  </si>
  <si>
    <t>Coordenadoria de Comunicação Social</t>
  </si>
  <si>
    <t>Centro de Convenções</t>
  </si>
  <si>
    <t>Centro de Eventos</t>
  </si>
  <si>
    <t>Núcleo de Vigilância</t>
  </si>
  <si>
    <t>Centro de Artes e Letras</t>
  </si>
  <si>
    <t>Departamento de Medicina</t>
  </si>
  <si>
    <t>Departamento de Fonoaudiologia</t>
  </si>
  <si>
    <t>Departamento de Medicina Veterinária Preventiva</t>
  </si>
  <si>
    <t>Setor de Planejamento Ambiental</t>
  </si>
  <si>
    <t>Hospital Veterinário Universitário</t>
  </si>
  <si>
    <t>Restaurante Universitário II</t>
  </si>
  <si>
    <t>Biotério Central</t>
  </si>
  <si>
    <t>Departamento de Ciências Biológicas</t>
  </si>
  <si>
    <t>Centro de Educação</t>
  </si>
  <si>
    <t>Colégio Técnico Industrial de Santa Maria</t>
  </si>
  <si>
    <t>Coordenadoria de Tecnologia Educacional</t>
  </si>
  <si>
    <t>Centro de Tecnologia</t>
  </si>
  <si>
    <t>Centro de Ciências Naturais e Exatas</t>
  </si>
  <si>
    <t>Centro de Ciências da Saúde</t>
  </si>
  <si>
    <t>Centro de Ciências Sociais e Humanas</t>
  </si>
  <si>
    <t>Centro de Ciências Rurais</t>
  </si>
  <si>
    <t>Centro de Educação Física e Desportos</t>
  </si>
  <si>
    <t>Pró-Reitoria de Assuntos Estudantis</t>
  </si>
  <si>
    <t>Espaço Multidisciplinar de Pesquisa e Extensão da UFSM</t>
  </si>
  <si>
    <t>Coordenadoria de Educação Básica, Técnica e Tecnológica</t>
  </si>
  <si>
    <t>Agência de Inovação e Transferência de Tecnologia</t>
  </si>
  <si>
    <t>Pró-Reitoria de Infraestrutura</t>
  </si>
  <si>
    <t>Pró-Reitoria de Administração</t>
  </si>
  <si>
    <t>Pró-Reitoria de Extensão</t>
  </si>
  <si>
    <t>Pró-Reitoria de Pós-Graduação e Pesquisa</t>
  </si>
  <si>
    <t>Coordenadoria de Saúde e Qualidade de Vida do Servidor</t>
  </si>
  <si>
    <t>Secretaria de Apoio Internacional</t>
  </si>
  <si>
    <t>Pró-Reitoria de Graduação</t>
  </si>
  <si>
    <t>INPE - CT</t>
  </si>
  <si>
    <t>INPE - CCNE</t>
  </si>
  <si>
    <t>Livraria - Grife</t>
  </si>
  <si>
    <t>Departamento de Terapia Ocupacional - Clínica Terapêutica</t>
  </si>
  <si>
    <t>Departamento de Fitotecnia</t>
  </si>
  <si>
    <t>Departamento de Zootecnia</t>
  </si>
  <si>
    <t>Departamento de Solos</t>
  </si>
  <si>
    <t>Laboratório de Biotecnologia Florestal</t>
  </si>
  <si>
    <t>Departamento de Ciências Florestais</t>
  </si>
  <si>
    <t>Departamento de Morfologia</t>
  </si>
  <si>
    <t>Departamento de Cirurgia Experimental</t>
  </si>
  <si>
    <t>Setor de Atenção Integral ao Estudante</t>
  </si>
  <si>
    <t>Centro de Apoio à Pesquisa Paleontológica</t>
  </si>
  <si>
    <t>Restaurante Universitário Centro</t>
  </si>
  <si>
    <t>INPE - São Martinho da Serra</t>
  </si>
  <si>
    <t>Arco</t>
  </si>
  <si>
    <t>União Universitária - CEU-II</t>
  </si>
  <si>
    <t>Área Nova</t>
  </si>
  <si>
    <t>AGITTEC - Centro de Eventos</t>
  </si>
  <si>
    <t>Ronda - Motocicleta</t>
  </si>
  <si>
    <t>Móvel - SUV</t>
  </si>
  <si>
    <t>Várzea - Viveiro Florestal</t>
  </si>
  <si>
    <t>Posto Fixo - Campus</t>
  </si>
  <si>
    <t>Apoio</t>
  </si>
  <si>
    <t>Ronda - Bicicleta</t>
  </si>
  <si>
    <t>Curso de Medicina</t>
  </si>
  <si>
    <t>Restaurante Universitário</t>
  </si>
  <si>
    <t>Serviço de Emergência Universitário</t>
  </si>
  <si>
    <t>Coordenadoria de Ações Educacionais</t>
  </si>
  <si>
    <t>Casa do Estudante Universitário II</t>
  </si>
  <si>
    <t>Coordenadoria de Concessão e Registro</t>
  </si>
  <si>
    <t>Núcleo de Infraestrutura do CCS</t>
  </si>
  <si>
    <t>CATSER</t>
  </si>
  <si>
    <t>Exemplos de aplicação:</t>
  </si>
  <si>
    <t>GRAU</t>
  </si>
  <si>
    <t>% MULTA</t>
  </si>
  <si>
    <t>ENQUADRAMENTO</t>
  </si>
  <si>
    <t>APLICAÇÃO</t>
  </si>
  <si>
    <t>% MULTA
x
QUANTIDADE</t>
  </si>
  <si>
    <t>VALOR DA MULTA EM R$</t>
  </si>
  <si>
    <t>Item 1, Tabela 2</t>
  </si>
  <si>
    <t>CONTRATO</t>
  </si>
  <si>
    <t>VALOR DA MULTA A APLICAR</t>
  </si>
  <si>
    <t>Item 2, Tabela 2</t>
  </si>
  <si>
    <t>A empresa contratada não apresenta a apólice de seguro de responsabilidade civil dentro do prazo estipulado no contrato, resultando em 45 dias de atraso na formalização da garantia contratual exigida.</t>
  </si>
  <si>
    <t>Item 3, Tabela 2</t>
  </si>
  <si>
    <t>Item 4, Tabela 2</t>
  </si>
  <si>
    <t>Item 5, Tabela 2</t>
  </si>
  <si>
    <t>Item 6, Tabela 2</t>
  </si>
  <si>
    <t>Item 7, Tabela 2</t>
  </si>
  <si>
    <t>Durante uma auditoria interna, a Universidade descobre que os registros de ponto eletrônico e os relatórios de entrega de uniformes de 35 empregados foram alterados para evitar descontos nas apurações mensais do contrato e a omissão da empresa na entrega dos uniformes.</t>
  </si>
  <si>
    <t>Item 8, Tabela 2</t>
  </si>
  <si>
    <t>Item 9, Tabela 2</t>
  </si>
  <si>
    <t>Item 10, Tabela 2</t>
  </si>
  <si>
    <t>Item 11, Tabela 2</t>
  </si>
  <si>
    <t>Item 12, Tabela 2</t>
  </si>
  <si>
    <t>Item 13, Tabela 2</t>
  </si>
  <si>
    <t>Item 14, Tabela 2</t>
  </si>
  <si>
    <t>A empresa não designou um preposto para acompanhar a execução do contrato, como exigido no edital.</t>
  </si>
  <si>
    <t>Item 15, Tabela 2</t>
  </si>
  <si>
    <t>Item 16, Tabela 2</t>
  </si>
  <si>
    <t>A empresa apresentou IMR abaixo do limite de tolerância em 5 postos do contrato no mês de apuração.</t>
  </si>
  <si>
    <t>Item 17, Tabela 2</t>
  </si>
  <si>
    <t>4.7 Limpador de vidros e fachadas - Externo</t>
  </si>
  <si>
    <t>5143-15</t>
  </si>
  <si>
    <t>5 - Considerado 21 dias por mês
6 - Com base em contratos existentes e nas características do serviço, a empresa poderá adotar um percentual de uso do VT. Base legal: Princípio da Economicidade e Art. 63, §1º, da IN 05/2017 SEGES/MP.</t>
  </si>
  <si>
    <t>3. ESQUADRIAS E FACHADAS</t>
  </si>
  <si>
    <t>LITRO</t>
  </si>
  <si>
    <t>QUANTIDADE MENSAL</t>
  </si>
  <si>
    <t>QUANTIDADE ANUAL</t>
  </si>
  <si>
    <t>ÁGUA SANITÁRIA À BASE DE CLORO. TEOR DE CLORO ATIVO 2,50%.</t>
  </si>
  <si>
    <t>DETERGENTE CONCENTRADO NEUTRO</t>
  </si>
  <si>
    <t>DESINFETANTE CONCENTRADO</t>
  </si>
  <si>
    <t>REMOVEDOR CONCENTRADO MULTIUSO</t>
  </si>
  <si>
    <t>CERA LÍQUIDA PARA PISO, AUTO BRILHO, ANTIDERRAPANTE</t>
  </si>
  <si>
    <t>SABÃO EM PÓ MULTIAÇÃO</t>
  </si>
  <si>
    <t>KG</t>
  </si>
  <si>
    <t>SABÃO EM BARRA - GLICERINADO - 200G</t>
  </si>
  <si>
    <t>SAPONÁCEO CREMOSO - 300ML</t>
  </si>
  <si>
    <t xml:space="preserve">            INSUMOS PARA OS SERVIÇOS DE LIMPEZA E COLETA DE RESÍDUOS</t>
  </si>
  <si>
    <t>LIMPADOR BASE ÁCIDA</t>
  </si>
  <si>
    <t>LIMPA VIDROS COM ANTIEMBAÇANTE</t>
  </si>
  <si>
    <t>ÁLCOOL 70% - LÍQUIDO</t>
  </si>
  <si>
    <t>LIMPADOR MULTIUSO</t>
  </si>
  <si>
    <t>LUSTRA MÓVEIS - 200ML</t>
  </si>
  <si>
    <t>VIDA ÚTIL (MESES)</t>
  </si>
  <si>
    <t>BALDE PLÁSTICO 20L</t>
  </si>
  <si>
    <t>CAIXA PLÁSTICA 50L COM TAMPA E PRESILHAS</t>
  </si>
  <si>
    <t>BALDE PARA COLETA DE RESÍDUOS ORGÂNICOS COM TAMPA - 5L</t>
  </si>
  <si>
    <t>BALDE PARA COLETA DE RESÍDUOS ORGÂNICOS COM TAMPA - 10L</t>
  </si>
  <si>
    <t>BALDE PARA COLETA DE RESÍDUOS ORGÂNICOS COM TAMPA - 20L</t>
  </si>
  <si>
    <t>PALETE PLÁSTICO - CAPACIDADE 1000KG - 1200X1000X130MM</t>
  </si>
  <si>
    <t>VASSOURA/MOP MICROFIBRA 600MM</t>
  </si>
  <si>
    <t>REFIL MOP MICROFIBRA 600MM</t>
  </si>
  <si>
    <t>VASSOURA NYLON COM CABO</t>
  </si>
  <si>
    <t>VASSOURA PELO 400MM COM CABO</t>
  </si>
  <si>
    <t>VASSOURA PALHA COM CABO</t>
  </si>
  <si>
    <t>DESENTUPIDOR DE VASO SANITÁRIO COM CABO</t>
  </si>
  <si>
    <t>DESENTUPIDOR DE PIA COM CABO</t>
  </si>
  <si>
    <t>ESCOVA PLÁSTICA PARA VASO SANITÁRIO COM CABO E SUPORTE</t>
  </si>
  <si>
    <t>RODO 400MM COM CABO</t>
  </si>
  <si>
    <t>RODO 600MM COM CABO</t>
  </si>
  <si>
    <t>RODO 900MM COM CABO</t>
  </si>
  <si>
    <t>RODO ESPECIAL PARA VIDROS, DOBRÁVEL</t>
  </si>
  <si>
    <t>PÁ PARA LIXO COM CABO</t>
  </si>
  <si>
    <t>EXTENSÃO ELÉTRICA 20M CABO PP 3X2,5MM2</t>
  </si>
  <si>
    <t>MANGUEIRA PARA ÁGUA (JARDIM) 50M COM ENGATE RÁPIDO E ESGUICHO</t>
  </si>
  <si>
    <t>VEÍCULO UTILITÁRIO TIPO PICK-UP</t>
  </si>
  <si>
    <t>AUTOLAVADORA 3.000M2/H</t>
  </si>
  <si>
    <t>ASPIRADOR DE PÓ/ÁGUA PROFISSIONAL 1600W</t>
  </si>
  <si>
    <t>ENCERADEIRA PROFISSIONAL 380MM</t>
  </si>
  <si>
    <t>ENCERADEIRA PROFISSIONAL 510MM</t>
  </si>
  <si>
    <t>ESCADA ALUMÍNIO 3 DEGRAUS</t>
  </si>
  <si>
    <t>CARRO FUNCIONAL PARA LIMPEZA</t>
  </si>
  <si>
    <t>ESCADA ALUMÍNIO 5 DEGRAUS</t>
  </si>
  <si>
    <t>LAVADORA ALTA PRESSÃO 1600LBS</t>
  </si>
  <si>
    <t>ARMÁRIO ROUPEIRO DE AÇO 2 PORTAS</t>
  </si>
  <si>
    <t>PLACA DOBRÁVEL "CUIDADO - PISO MOLHADO"</t>
  </si>
  <si>
    <t>PLACA DOBRÁVEL "ATENÇÃO - LIMPEZA" OU "CUIDADO! NÃO ENTRE"</t>
  </si>
  <si>
    <t>ASPIRADOR DE PÓ/ÁGUA PROFISSIONAL 1400W</t>
  </si>
  <si>
    <t>VEÍCULO TIPO VAN - CAPACIDADE 16 PESSOAS</t>
  </si>
  <si>
    <t>CABO EXTENSOR TELESCÓPICO 4-8M PARA VASSOURA/MOP/RODO</t>
  </si>
  <si>
    <t>5143-20 AUX.LB 5x2 DIURNO SJP</t>
  </si>
  <si>
    <t>5143-20 AUX.LB 5x2 DIURNO SVM</t>
  </si>
  <si>
    <t>BCCI - BASE DE CÁLCULO DOS CUSTOS INDIRETOS</t>
  </si>
  <si>
    <t>CUSTOS INDIRETOS</t>
  </si>
  <si>
    <t>BCT - BASE DE CÁLCULO DOS TRIBUTOS</t>
  </si>
  <si>
    <t>VALOR TOTAL DOS INSUMOS</t>
  </si>
  <si>
    <t>UNIFORMES PARA OS SERVIÇOS DE LIMPEZA</t>
  </si>
  <si>
    <t>CAMISA MANGA CURTA, com cortes adequados a cada profissional, masculino ou feminino; deve possuir a logomarca da empresa em tamanho e local visíveis (no peito, à esquerda)</t>
  </si>
  <si>
    <t>CAMISA MANGA LONGA,  com cortes adequados a cada profissional, masculino ou feminino; deve possuir a logomarca da empresa em tamanho e local visíveis (no peito, à esquerda);</t>
  </si>
  <si>
    <t>JAQUETA DE FRIO, forrada e confeccionada em nylon 100% impermeável; com cortes adequados a cada profissional, masculino ou feminino; deve possuir a logomarca da empresa em tamanho e local visíveis</t>
  </si>
  <si>
    <t>CALÇA, com dois bolsos laterais, antialérgica, adequada à prestação do serviço, com cortes adequados a cada profissional, masculino ou feminino</t>
  </si>
  <si>
    <t>CALÇADO DE SEGURANÇA, adequado para a atividade, com certificado CA</t>
  </si>
  <si>
    <t>MEIAS ESCURAS</t>
  </si>
  <si>
    <t>CAPA DE CHUVA IMPERMEÁVEL</t>
  </si>
  <si>
    <t>CADEADO 20MM, corpo em latão maciço, haste em aço, com 2 chaves em latão</t>
  </si>
  <si>
    <t>CRACHÁ DE IDENTIFICAÇÃO, em plástico rígido, contendo logomarca da empresa, foto, nome completo e cargo do funcionário</t>
  </si>
  <si>
    <t>CONJUNTO</t>
  </si>
  <si>
    <t>UNIFORMES PARA OS SERVIÇOS DE COLETA</t>
  </si>
  <si>
    <t>COLETE REFLETIVO LEVE, para uso sobre a vestimenta de segurança</t>
  </si>
  <si>
    <t>BONÉ DE TECIDO, cor LARANJA</t>
  </si>
  <si>
    <t>UNIFORMES PARA OS ENCARREGADOS</t>
  </si>
  <si>
    <t>CALÇA, em tecido Terbrim, na cor preta, com dois bolsos laterais, antialérgica, adequada à prestação do serviço, com cortes adequados a cada profissional, masculino ou feminino</t>
  </si>
  <si>
    <t>CAMISA MANGA CURTA, em cor clara, com bolsos frontais, com cortes adequados a cada profissional, masculino ou feminino; deve possuir a logomarca da empresa em tamanho e local visíveis</t>
  </si>
  <si>
    <t>CAMISA MANGA LONGA, em cor clara, com bolsos frontais, com cortes adequados a cada profissional, masculino ou feminino; deve possuir a logomarca da empresa em tamanho e local visíveis</t>
  </si>
  <si>
    <t>BLUSÃO de lã em cor escura, decote V, com cortes adequados a cada profissional, masculino ou feminino; deve possuir a logomarca da empresa em tamanho e local visíveis</t>
  </si>
  <si>
    <t>KIT EPI PARA SERVIÇOS DE LIMPEZA
  - Respirador descartável PFF2 (42 UNIDADES)
  - Luvas látex (4 PARES)
  - Óculos proteção (1UNIDADE)</t>
  </si>
  <si>
    <t>ESPONJA DUPLA FACE</t>
  </si>
  <si>
    <t>DISCO REMOVEDOR PARA LIMPEZA PESADA</t>
  </si>
  <si>
    <t>DISCO LUSTRADOR PARA ENCERADEIRA</t>
  </si>
  <si>
    <t>DISCO FIBRA PARA LIMPEZA GERAL</t>
  </si>
  <si>
    <t>FLANELA PARA LIMPEZA MICROFIBRA</t>
  </si>
  <si>
    <t>PANO PARA LIMPEZA - SACO ALVEJADO</t>
  </si>
  <si>
    <t>LAVADORA PISO 1.840M2/H</t>
  </si>
  <si>
    <t>Insumos</t>
  </si>
  <si>
    <t>TOTAL</t>
  </si>
  <si>
    <t>SEG-SEX 07:00 -16:00 12:00 - 21:00</t>
  </si>
  <si>
    <t>SEG-SEX 07:00 -16:48 12:00 - 21:48</t>
  </si>
  <si>
    <t>SEG-SEX 07:00 - 16:48</t>
  </si>
  <si>
    <t>SEG-SEX 08:00 -16:00 12:00 - 21:00</t>
  </si>
  <si>
    <t xml:space="preserve">            UNIFORMES E EPI PARA OS SERVIÇOS DE LIMPEZA E COLETA DE RESÍDUOS</t>
  </si>
  <si>
    <t>07:00 - 16:00
12:00 - 21:00</t>
  </si>
  <si>
    <t>Um funcionário do contrato, ao perder as chaves das portas de uma unidade, permite a entrada de pessoas não autorizadas que causam danos a equipamentos de laboratório e lesionam um funcionário, resultando em prejuízos materiais e físicos para a universidade.</t>
  </si>
  <si>
    <t>A empresa contratada não aloca 23 funcionários de limpeza de banheiros durante os primeiros 15 dias de vigência do contrato, deixando o serviço incompleto.</t>
  </si>
  <si>
    <t>A empresa contratada não realiza a limpeza dos banheiros durante os primeiros 15 dias de vigência do contrato no prédio 40, deixando o serviço incompleto.</t>
  </si>
  <si>
    <t>ÁREA</t>
  </si>
  <si>
    <t>Os agentes de coleta de lixo da universidade deixam de comparecer ao trabalho sem aviso prévio, interrompendo os serviços de coleta por 5 dias.</t>
  </si>
  <si>
    <t>Dois serventes de limpeza da Reitoria não possuem formação e o treinamento necessários para realizar os serviços, compromentendo a segurança sanitária do prédio. A empresa demorou 63 dias para realizar o treinamento.</t>
  </si>
  <si>
    <t>A empresa não realizou a limpeza no prédio 47 por 5 dias, compromentendo a segurança sanitária do local.</t>
  </si>
  <si>
    <t>O limpador de piscina se recusa a executar a limpeza da piscina, conforme estipulado no Procedimento Operacional Padrão, sem justificativa. O fiscal técnico informou que o comportamento foi recorrente nos últimos 25 dias.</t>
  </si>
  <si>
    <t>A equipe de limpeza do prédio 13A se recusa a executar a limpeza, conforme estipulado no Procedimento Operacional Padrão, sem justificativa. O fiscal técnico informou que o comportamento foi recorrente nos últimos 25 dias.</t>
  </si>
  <si>
    <t>O supervisor da empresa retirou dois agentes de coleta de lixo, durante a quarta e quinta-feira, nos meses de março a  julho de 2024, sem a permissão da universidade, para atender a uma demanda própria da empresa, deixando postos críticos desguarnecidos.</t>
  </si>
  <si>
    <t>A empresa contratada não mantém registros adequados de presença e pontualidade dos funcionários da limpeza, resultando em inconsistências nos horários de entrada e saída e dificultando o controle de assiduidade. Após notificação, a empresa resolveu o problema depois de 12 dias. 29 empregados do contrato foram afetados.</t>
  </si>
  <si>
    <t>Um auxiliar de limpeza hospitalar demonstrou comportamento inadequado, assediando alunas e tratando servidores e visitantes com descortesia, e a empresa contratada demorou 45 dias para substituí-lo após a formalização do pedido pelo gestor do contrato.</t>
  </si>
  <si>
    <t>Durante a apuração mensal foi constatado que a empresa não recolheu corretamente o FGTS e as contribuições sociais de 6 serventes de limpeza verificados por amostragem. Com esse indício, procedeu-se à análise de todos os empregados e verificou-se que 32 serventes possuíam pendências trabalhistas.</t>
  </si>
  <si>
    <t>A empresa atrasou o pagamento do vale transporte e vale alimentação de 14 serventes de limpeza, causando insatisfação e instabilidade entre os funcionários, que começaram a reclamar diretamente para os fiscais técnicos do contrato.</t>
  </si>
  <si>
    <t>A empresa falhou repetidamente em fornecer uniformes adequados para os 35 empregados, conforme especificado no edital, mesmo após notificação formal para correção.</t>
  </si>
  <si>
    <t>Item 18, Tabela 2</t>
  </si>
  <si>
    <t>A empresa não realizou treinamento inicial indicado no edital para 14 auxiliares de limpeza hospitalar do contrato. O problema foi corrigido após 33 dias.</t>
  </si>
  <si>
    <t>Item 19, Tabela 2</t>
  </si>
  <si>
    <t>Item 20, Tabela 2</t>
  </si>
  <si>
    <t>A empresa apresentou IMR abaixo do limite de tolerância em 3 prédios do contrato no mês de apuração.</t>
  </si>
  <si>
    <t>Item 21, Tabela 2</t>
  </si>
  <si>
    <t>KIT EPI PARA SERVIÇOS DE COLETA
  - Luva vaqueta (2 PARES)
  - Luva nitrílica (2 PARES)
  - Óculos proteção (1 UNIDADE)
  - Protetor solar UVA/UVB (2 UNIDADES)</t>
  </si>
  <si>
    <t>KIT EPI PARA SERVIÇOS DE LIMPEZA
  - Respirador descartável PFF2 (21 UNIDADES)
  - Luvas látex (2 PARES)
  - Óculos proteção (1UNIDADE)</t>
  </si>
  <si>
    <t>BIG BAG COM ALÇAS, CAPACIDADE 1000KG</t>
  </si>
  <si>
    <t>EQUIPAMENTOS PARA OS SERVIÇOS DE LIMPEZA E COLETA DE RESÍDUOS</t>
  </si>
  <si>
    <t>MATERIAIS PARA OS SERVIÇOS DE LIMPEZA E COLETA DE RESÍDUOS</t>
  </si>
  <si>
    <t>PRODUTOS PARA OS SERVIÇOS DE LIMPEZA E COLETA DE RESÍDUOS</t>
  </si>
  <si>
    <t>POSTOS POR UNIDADE</t>
  </si>
  <si>
    <t>200 - 330</t>
  </si>
  <si>
    <t>SACO DE LIXO REFORÇADO - 300L - CORES DIFERENTES CFE INDICAÇÃO DA UFSM</t>
  </si>
  <si>
    <t>SACO DE LIXO REFORÇADO - 100L - CORES DIFERENTES CFE INDICAÇÃO DA UFSM</t>
  </si>
  <si>
    <t>SACO DE LIXO REFORÇADO - 50L - CORES DIFERENTES CFE INDICAÇÃO DA UFSM</t>
  </si>
  <si>
    <t>SACO DE LIXO REFORÇADO - 30L - CORES DIFERENTES CFE INDICAÇÃO DA UFSM</t>
  </si>
  <si>
    <t>1 - Salário base para escala 5x2, 40h semanais, intervalo 1h intrajornada
Adicional de insalubridade estimado conforme indicação da CCT utilizada como referência</t>
  </si>
  <si>
    <t>seg-sex
07:00 - 16:00
12:00 - 21:00
sab
07:00 - 11:00
12:00 - 16:00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</si>
</sst>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_-;\-* #,##0.00_-;_-* &quot;-&quot;??_-;_-@"/>
    <numFmt numFmtId="165" formatCode="0.0000"/>
    <numFmt numFmtId="166" formatCode="_-* #,##0_-;\-* #,##0_-;_-* &quot;-&quot;??_-;_-@"/>
    <numFmt numFmtId="167" formatCode="0.000%"/>
    <numFmt numFmtId="168" formatCode="_-* #,##0_-;\-* #,##0_-;_-* &quot;-&quot;??_-;_-@_-"/>
    <numFmt numFmtId="169" formatCode="#,##0.00\m\²"/>
    <numFmt numFmtId="170" formatCode="#,##0.00\m\²\/\8\h"/>
  </numFmts>
  <fonts count="4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</font>
    <font>
      <sz val="1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sz val="8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sz val="11"/>
      <color rgb="FF00608B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10"/>
      <color theme="1"/>
      <name val="Calibri"/>
      <family val="2"/>
    </font>
    <font>
      <u/>
      <sz val="11"/>
      <color theme="1"/>
      <name val="Calibri"/>
      <family val="2"/>
      <scheme val="minor"/>
    </font>
    <font>
      <b/>
      <sz val="11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rgb="FFAEABAB"/>
        <bgColor rgb="FFAEABAB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608B"/>
        <bgColor rgb="FFAEABAB"/>
      </patternFill>
    </fill>
    <fill>
      <patternFill patternType="solid">
        <fgColor rgb="FF00608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rgb="FFFFFF00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8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medium">
        <color rgb="FF000000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43" fontId="2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9" fontId="28" fillId="0" borderId="0" applyFont="0" applyFill="0" applyBorder="0" applyAlignment="0" applyProtection="0"/>
  </cellStyleXfs>
  <cellXfs count="621">
    <xf numFmtId="0" fontId="0" fillId="0" borderId="0" xfId="0"/>
    <xf numFmtId="0" fontId="14" fillId="0" borderId="4" xfId="0" applyFont="1" applyBorder="1"/>
    <xf numFmtId="0" fontId="14" fillId="0" borderId="0" xfId="0" applyFont="1" applyAlignment="1">
      <alignment horizontal="center"/>
    </xf>
    <xf numFmtId="0" fontId="15" fillId="0" borderId="0" xfId="0" applyFont="1"/>
    <xf numFmtId="0" fontId="14" fillId="0" borderId="4" xfId="0" applyFont="1" applyBorder="1" applyAlignment="1">
      <alignment horizontal="left" vertical="center"/>
    </xf>
    <xf numFmtId="9" fontId="14" fillId="0" borderId="4" xfId="0" applyNumberFormat="1" applyFont="1" applyBorder="1"/>
    <xf numFmtId="164" fontId="14" fillId="0" borderId="4" xfId="0" applyNumberFormat="1" applyFont="1" applyBorder="1"/>
    <xf numFmtId="0" fontId="14" fillId="0" borderId="0" xfId="0" applyFont="1" applyAlignment="1">
      <alignment horizontal="left" vertical="center"/>
    </xf>
    <xf numFmtId="9" fontId="14" fillId="0" borderId="0" xfId="0" applyNumberFormat="1" applyFont="1"/>
    <xf numFmtId="0" fontId="14" fillId="0" borderId="5" xfId="0" applyFont="1" applyBorder="1" applyAlignment="1">
      <alignment horizontal="left" vertical="center"/>
    </xf>
    <xf numFmtId="0" fontId="14" fillId="0" borderId="5" xfId="0" applyFont="1" applyBorder="1"/>
    <xf numFmtId="164" fontId="14" fillId="0" borderId="5" xfId="0" applyNumberFormat="1" applyFont="1" applyBorder="1"/>
    <xf numFmtId="9" fontId="15" fillId="5" borderId="6" xfId="0" applyNumberFormat="1" applyFont="1" applyFill="1" applyBorder="1" applyAlignment="1">
      <alignment horizontal="center" vertical="center"/>
    </xf>
    <xf numFmtId="0" fontId="14" fillId="0" borderId="7" xfId="0" applyFont="1" applyBorder="1"/>
    <xf numFmtId="164" fontId="14" fillId="0" borderId="7" xfId="0" applyNumberFormat="1" applyFont="1" applyBorder="1"/>
    <xf numFmtId="10" fontId="14" fillId="0" borderId="7" xfId="0" applyNumberFormat="1" applyFont="1" applyBorder="1"/>
    <xf numFmtId="0" fontId="14" fillId="0" borderId="0" xfId="0" applyFont="1"/>
    <xf numFmtId="167" fontId="14" fillId="0" borderId="7" xfId="0" applyNumberFormat="1" applyFont="1" applyBorder="1"/>
    <xf numFmtId="0" fontId="14" fillId="0" borderId="7" xfId="0" applyFont="1" applyBorder="1" applyAlignment="1">
      <alignment horizontal="left" vertical="center"/>
    </xf>
    <xf numFmtId="10" fontId="14" fillId="4" borderId="7" xfId="0" applyNumberFormat="1" applyFont="1" applyFill="1" applyBorder="1"/>
    <xf numFmtId="10" fontId="14" fillId="0" borderId="0" xfId="0" applyNumberFormat="1" applyFont="1"/>
    <xf numFmtId="10" fontId="14" fillId="0" borderId="5" xfId="0" applyNumberFormat="1" applyFont="1" applyBorder="1"/>
    <xf numFmtId="10" fontId="14" fillId="0" borderId="4" xfId="0" applyNumberFormat="1" applyFont="1" applyBorder="1"/>
    <xf numFmtId="0" fontId="14" fillId="0" borderId="0" xfId="0" applyFon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49" fontId="0" fillId="0" borderId="0" xfId="0" applyNumberFormat="1"/>
    <xf numFmtId="0" fontId="14" fillId="0" borderId="16" xfId="0" applyFont="1" applyBorder="1" applyAlignment="1">
      <alignment horizontal="center" vertical="center" wrapText="1"/>
    </xf>
    <xf numFmtId="164" fontId="14" fillId="0" borderId="16" xfId="0" applyNumberFormat="1" applyFont="1" applyBorder="1"/>
    <xf numFmtId="0" fontId="14" fillId="0" borderId="21" xfId="0" applyFont="1" applyBorder="1" applyAlignment="1">
      <alignment horizontal="center" vertical="center" wrapText="1"/>
    </xf>
    <xf numFmtId="164" fontId="14" fillId="0" borderId="21" xfId="0" applyNumberFormat="1" applyFont="1" applyBorder="1"/>
    <xf numFmtId="164" fontId="13" fillId="2" borderId="23" xfId="0" applyNumberFormat="1" applyFont="1" applyFill="1" applyBorder="1"/>
    <xf numFmtId="164" fontId="13" fillId="2" borderId="24" xfId="0" applyNumberFormat="1" applyFont="1" applyFill="1" applyBorder="1"/>
    <xf numFmtId="0" fontId="0" fillId="0" borderId="3" xfId="0" applyBorder="1"/>
    <xf numFmtId="0" fontId="14" fillId="7" borderId="7" xfId="0" applyFont="1" applyFill="1" applyBorder="1"/>
    <xf numFmtId="164" fontId="14" fillId="7" borderId="7" xfId="0" applyNumberFormat="1" applyFont="1" applyFill="1" applyBorder="1"/>
    <xf numFmtId="0" fontId="10" fillId="0" borderId="0" xfId="0" applyFont="1"/>
    <xf numFmtId="0" fontId="14" fillId="8" borderId="3" xfId="0" applyFont="1" applyFill="1" applyBorder="1"/>
    <xf numFmtId="0" fontId="0" fillId="9" borderId="0" xfId="0" applyFill="1"/>
    <xf numFmtId="164" fontId="15" fillId="11" borderId="9" xfId="0" applyNumberFormat="1" applyFont="1" applyFill="1" applyBorder="1"/>
    <xf numFmtId="10" fontId="15" fillId="0" borderId="3" xfId="0" applyNumberFormat="1" applyFont="1" applyBorder="1"/>
    <xf numFmtId="164" fontId="15" fillId="0" borderId="3" xfId="0" applyNumberFormat="1" applyFont="1" applyBorder="1"/>
    <xf numFmtId="0" fontId="14" fillId="0" borderId="3" xfId="0" applyFont="1" applyBorder="1"/>
    <xf numFmtId="10" fontId="15" fillId="11" borderId="9" xfId="0" applyNumberFormat="1" applyFont="1" applyFill="1" applyBorder="1"/>
    <xf numFmtId="164" fontId="14" fillId="0" borderId="2" xfId="0" applyNumberFormat="1" applyFont="1" applyBorder="1"/>
    <xf numFmtId="0" fontId="14" fillId="0" borderId="16" xfId="0" applyFont="1" applyBorder="1" applyAlignment="1">
      <alignment horizontal="left" vertical="center"/>
    </xf>
    <xf numFmtId="0" fontId="14" fillId="0" borderId="16" xfId="0" applyFont="1" applyBorder="1"/>
    <xf numFmtId="0" fontId="9" fillId="0" borderId="0" xfId="0" applyFont="1" applyAlignment="1">
      <alignment vertical="center"/>
    </xf>
    <xf numFmtId="0" fontId="9" fillId="0" borderId="0" xfId="0" applyFont="1"/>
    <xf numFmtId="0" fontId="18" fillId="0" borderId="0" xfId="0" applyFont="1" applyAlignment="1">
      <alignment horizontal="center" vertical="center" wrapText="1"/>
    </xf>
    <xf numFmtId="0" fontId="19" fillId="0" borderId="3" xfId="0" applyFont="1" applyBorder="1" applyAlignment="1">
      <alignment vertical="center"/>
    </xf>
    <xf numFmtId="0" fontId="18" fillId="0" borderId="31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0" fillId="9" borderId="0" xfId="0" applyFont="1" applyFill="1"/>
    <xf numFmtId="0" fontId="10" fillId="15" borderId="0" xfId="0" applyFont="1" applyFill="1"/>
    <xf numFmtId="0" fontId="10" fillId="16" borderId="0" xfId="0" applyFont="1" applyFill="1"/>
    <xf numFmtId="0" fontId="10" fillId="17" borderId="0" xfId="0" applyFont="1" applyFill="1"/>
    <xf numFmtId="0" fontId="10" fillId="7" borderId="0" xfId="0" applyFont="1" applyFill="1"/>
    <xf numFmtId="0" fontId="10" fillId="14" borderId="0" xfId="0" applyFont="1" applyFill="1"/>
    <xf numFmtId="0" fontId="15" fillId="15" borderId="0" xfId="0" applyFont="1" applyFill="1"/>
    <xf numFmtId="0" fontId="14" fillId="15" borderId="0" xfId="0" applyFont="1" applyFill="1"/>
    <xf numFmtId="0" fontId="14" fillId="15" borderId="4" xfId="0" applyFont="1" applyFill="1" applyBorder="1"/>
    <xf numFmtId="0" fontId="15" fillId="15" borderId="34" xfId="0" applyFont="1" applyFill="1" applyBorder="1"/>
    <xf numFmtId="0" fontId="14" fillId="15" borderId="2" xfId="0" applyFont="1" applyFill="1" applyBorder="1"/>
    <xf numFmtId="0" fontId="14" fillId="15" borderId="8" xfId="0" applyFont="1" applyFill="1" applyBorder="1"/>
    <xf numFmtId="0" fontId="14" fillId="7" borderId="7" xfId="0" applyFont="1" applyFill="1" applyBorder="1" applyAlignment="1">
      <alignment horizontal="left" vertical="center"/>
    </xf>
    <xf numFmtId="10" fontId="14" fillId="7" borderId="7" xfId="0" applyNumberFormat="1" applyFont="1" applyFill="1" applyBorder="1"/>
    <xf numFmtId="0" fontId="15" fillId="16" borderId="0" xfId="0" applyFont="1" applyFill="1"/>
    <xf numFmtId="0" fontId="14" fillId="16" borderId="0" xfId="0" applyFont="1" applyFill="1"/>
    <xf numFmtId="0" fontId="14" fillId="16" borderId="4" xfId="0" applyFont="1" applyFill="1" applyBorder="1"/>
    <xf numFmtId="0" fontId="15" fillId="15" borderId="37" xfId="0" applyFont="1" applyFill="1" applyBorder="1"/>
    <xf numFmtId="0" fontId="15" fillId="16" borderId="38" xfId="0" applyFont="1" applyFill="1" applyBorder="1"/>
    <xf numFmtId="0" fontId="15" fillId="16" borderId="34" xfId="0" applyFont="1" applyFill="1" applyBorder="1"/>
    <xf numFmtId="0" fontId="14" fillId="16" borderId="2" xfId="0" applyFont="1" applyFill="1" applyBorder="1"/>
    <xf numFmtId="0" fontId="14" fillId="16" borderId="8" xfId="0" applyFont="1" applyFill="1" applyBorder="1"/>
    <xf numFmtId="0" fontId="15" fillId="17" borderId="38" xfId="0" applyFont="1" applyFill="1" applyBorder="1"/>
    <xf numFmtId="0" fontId="15" fillId="17" borderId="0" xfId="0" applyFont="1" applyFill="1"/>
    <xf numFmtId="0" fontId="14" fillId="17" borderId="0" xfId="0" applyFont="1" applyFill="1"/>
    <xf numFmtId="0" fontId="14" fillId="17" borderId="2" xfId="0" applyFont="1" applyFill="1" applyBorder="1"/>
    <xf numFmtId="0" fontId="10" fillId="17" borderId="25" xfId="0" applyFont="1" applyFill="1" applyBorder="1"/>
    <xf numFmtId="0" fontId="15" fillId="7" borderId="38" xfId="0" applyFont="1" applyFill="1" applyBorder="1"/>
    <xf numFmtId="0" fontId="15" fillId="7" borderId="3" xfId="0" applyFont="1" applyFill="1" applyBorder="1"/>
    <xf numFmtId="0" fontId="15" fillId="7" borderId="0" xfId="0" applyFont="1" applyFill="1"/>
    <xf numFmtId="0" fontId="14" fillId="7" borderId="0" xfId="0" applyFont="1" applyFill="1"/>
    <xf numFmtId="0" fontId="14" fillId="7" borderId="34" xfId="0" applyFont="1" applyFill="1" applyBorder="1"/>
    <xf numFmtId="0" fontId="14" fillId="7" borderId="2" xfId="0" applyFont="1" applyFill="1" applyBorder="1"/>
    <xf numFmtId="0" fontId="14" fillId="7" borderId="4" xfId="0" applyFont="1" applyFill="1" applyBorder="1"/>
    <xf numFmtId="0" fontId="14" fillId="7" borderId="8" xfId="0" applyFont="1" applyFill="1" applyBorder="1"/>
    <xf numFmtId="0" fontId="15" fillId="14" borderId="38" xfId="0" applyFont="1" applyFill="1" applyBorder="1"/>
    <xf numFmtId="0" fontId="15" fillId="14" borderId="0" xfId="0" applyFont="1" applyFill="1"/>
    <xf numFmtId="0" fontId="14" fillId="14" borderId="0" xfId="0" applyFont="1" applyFill="1"/>
    <xf numFmtId="0" fontId="14" fillId="14" borderId="2" xfId="0" applyFont="1" applyFill="1" applyBorder="1"/>
    <xf numFmtId="0" fontId="14" fillId="14" borderId="4" xfId="0" applyFont="1" applyFill="1" applyBorder="1"/>
    <xf numFmtId="0" fontId="14" fillId="14" borderId="8" xfId="0" applyFont="1" applyFill="1" applyBorder="1"/>
    <xf numFmtId="0" fontId="15" fillId="13" borderId="38" xfId="0" applyFont="1" applyFill="1" applyBorder="1"/>
    <xf numFmtId="0" fontId="15" fillId="13" borderId="3" xfId="0" applyFont="1" applyFill="1" applyBorder="1"/>
    <xf numFmtId="0" fontId="15" fillId="13" borderId="0" xfId="0" applyFont="1" applyFill="1"/>
    <xf numFmtId="0" fontId="10" fillId="13" borderId="0" xfId="0" applyFont="1" applyFill="1"/>
    <xf numFmtId="0" fontId="14" fillId="13" borderId="0" xfId="0" applyFont="1" applyFill="1"/>
    <xf numFmtId="0" fontId="14" fillId="13" borderId="34" xfId="0" applyFont="1" applyFill="1" applyBorder="1"/>
    <xf numFmtId="0" fontId="14" fillId="13" borderId="2" xfId="0" applyFont="1" applyFill="1" applyBorder="1"/>
    <xf numFmtId="0" fontId="14" fillId="13" borderId="4" xfId="0" applyFont="1" applyFill="1" applyBorder="1"/>
    <xf numFmtId="0" fontId="14" fillId="13" borderId="8" xfId="0" applyFont="1" applyFill="1" applyBorder="1"/>
    <xf numFmtId="0" fontId="14" fillId="17" borderId="27" xfId="0" applyFont="1" applyFill="1" applyBorder="1"/>
    <xf numFmtId="0" fontId="15" fillId="17" borderId="37" xfId="0" applyFont="1" applyFill="1" applyBorder="1"/>
    <xf numFmtId="0" fontId="14" fillId="17" borderId="25" xfId="0" applyFont="1" applyFill="1" applyBorder="1"/>
    <xf numFmtId="0" fontId="14" fillId="17" borderId="40" xfId="0" applyFont="1" applyFill="1" applyBorder="1"/>
    <xf numFmtId="0" fontId="14" fillId="14" borderId="27" xfId="0" applyFont="1" applyFill="1" applyBorder="1"/>
    <xf numFmtId="0" fontId="15" fillId="14" borderId="37" xfId="0" applyFont="1" applyFill="1" applyBorder="1"/>
    <xf numFmtId="43" fontId="18" fillId="0" borderId="16" xfId="1" applyFont="1" applyBorder="1" applyAlignment="1"/>
    <xf numFmtId="0" fontId="18" fillId="18" borderId="46" xfId="0" applyFont="1" applyFill="1" applyBorder="1" applyAlignment="1">
      <alignment horizontal="center"/>
    </xf>
    <xf numFmtId="0" fontId="0" fillId="0" borderId="16" xfId="0" applyBorder="1"/>
    <xf numFmtId="0" fontId="0" fillId="0" borderId="0" xfId="0" applyAlignment="1">
      <alignment vertical="center"/>
    </xf>
    <xf numFmtId="0" fontId="14" fillId="0" borderId="16" xfId="0" applyFont="1" applyBorder="1" applyAlignment="1">
      <alignment horizontal="center" vertical="center"/>
    </xf>
    <xf numFmtId="0" fontId="14" fillId="0" borderId="16" xfId="0" applyFont="1" applyBorder="1" applyAlignment="1">
      <alignment horizontal="left" vertical="center" wrapText="1"/>
    </xf>
    <xf numFmtId="164" fontId="14" fillId="0" borderId="16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/>
    </xf>
    <xf numFmtId="43" fontId="14" fillId="0" borderId="16" xfId="1" applyFont="1" applyBorder="1" applyAlignment="1">
      <alignment horizontal="center" vertical="center"/>
    </xf>
    <xf numFmtId="0" fontId="0" fillId="0" borderId="57" xfId="0" applyBorder="1"/>
    <xf numFmtId="0" fontId="19" fillId="8" borderId="3" xfId="0" applyFont="1" applyFill="1" applyBorder="1" applyAlignment="1">
      <alignment horizontal="left" vertical="center" wrapText="1"/>
    </xf>
    <xf numFmtId="43" fontId="14" fillId="0" borderId="3" xfId="1" applyFont="1" applyBorder="1" applyAlignment="1">
      <alignment horizontal="center" vertical="center"/>
    </xf>
    <xf numFmtId="164" fontId="14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center"/>
    </xf>
    <xf numFmtId="9" fontId="14" fillId="0" borderId="3" xfId="0" applyNumberFormat="1" applyFont="1" applyBorder="1"/>
    <xf numFmtId="164" fontId="14" fillId="0" borderId="3" xfId="0" applyNumberFormat="1" applyFont="1" applyBorder="1"/>
    <xf numFmtId="9" fontId="14" fillId="0" borderId="50" xfId="0" applyNumberFormat="1" applyFont="1" applyBorder="1" applyAlignment="1">
      <alignment horizontal="left"/>
    </xf>
    <xf numFmtId="164" fontId="14" fillId="0" borderId="51" xfId="0" applyNumberFormat="1" applyFont="1" applyBorder="1"/>
    <xf numFmtId="0" fontId="14" fillId="4" borderId="16" xfId="0" applyFont="1" applyFill="1" applyBorder="1" applyAlignment="1">
      <alignment horizontal="left" vertical="center"/>
    </xf>
    <xf numFmtId="0" fontId="15" fillId="4" borderId="16" xfId="0" applyFont="1" applyFill="1" applyBorder="1"/>
    <xf numFmtId="0" fontId="14" fillId="4" borderId="16" xfId="0" applyFont="1" applyFill="1" applyBorder="1"/>
    <xf numFmtId="0" fontId="14" fillId="4" borderId="23" xfId="0" applyFont="1" applyFill="1" applyBorder="1" applyAlignment="1">
      <alignment horizontal="left" vertical="center"/>
    </xf>
    <xf numFmtId="0" fontId="14" fillId="4" borderId="23" xfId="0" applyFont="1" applyFill="1" applyBorder="1"/>
    <xf numFmtId="1" fontId="14" fillId="0" borderId="16" xfId="0" applyNumberFormat="1" applyFont="1" applyBorder="1"/>
    <xf numFmtId="10" fontId="14" fillId="0" borderId="16" xfId="0" applyNumberFormat="1" applyFont="1" applyBorder="1"/>
    <xf numFmtId="10" fontId="15" fillId="0" borderId="16" xfId="0" applyNumberFormat="1" applyFont="1" applyBorder="1"/>
    <xf numFmtId="164" fontId="15" fillId="0" borderId="16" xfId="0" applyNumberFormat="1" applyFont="1" applyBorder="1"/>
    <xf numFmtId="10" fontId="14" fillId="10" borderId="16" xfId="0" applyNumberFormat="1" applyFont="1" applyFill="1" applyBorder="1"/>
    <xf numFmtId="10" fontId="14" fillId="0" borderId="3" xfId="0" applyNumberFormat="1" applyFont="1" applyBorder="1"/>
    <xf numFmtId="0" fontId="15" fillId="0" borderId="3" xfId="0" applyFont="1" applyBorder="1"/>
    <xf numFmtId="9" fontId="15" fillId="5" borderId="50" xfId="0" applyNumberFormat="1" applyFont="1" applyFill="1" applyBorder="1" applyAlignment="1">
      <alignment horizontal="center" vertical="center"/>
    </xf>
    <xf numFmtId="167" fontId="14" fillId="0" borderId="16" xfId="0" applyNumberFormat="1" applyFont="1" applyBorder="1"/>
    <xf numFmtId="10" fontId="14" fillId="4" borderId="16" xfId="0" applyNumberFormat="1" applyFont="1" applyFill="1" applyBorder="1"/>
    <xf numFmtId="9" fontId="14" fillId="0" borderId="16" xfId="0" applyNumberFormat="1" applyFont="1" applyBorder="1"/>
    <xf numFmtId="164" fontId="14" fillId="4" borderId="16" xfId="0" applyNumberFormat="1" applyFont="1" applyFill="1" applyBorder="1"/>
    <xf numFmtId="166" fontId="14" fillId="0" borderId="16" xfId="0" applyNumberFormat="1" applyFont="1" applyBorder="1"/>
    <xf numFmtId="0" fontId="15" fillId="0" borderId="3" xfId="0" applyFont="1" applyBorder="1" applyAlignment="1">
      <alignment horizontal="center"/>
    </xf>
    <xf numFmtId="0" fontId="12" fillId="0" borderId="3" xfId="0" applyFont="1" applyBorder="1"/>
    <xf numFmtId="164" fontId="15" fillId="5" borderId="34" xfId="0" applyNumberFormat="1" applyFont="1" applyFill="1" applyBorder="1" applyAlignment="1">
      <alignment horizontal="center" vertical="center"/>
    </xf>
    <xf numFmtId="9" fontId="15" fillId="6" borderId="10" xfId="0" applyNumberFormat="1" applyFont="1" applyFill="1" applyBorder="1" applyAlignment="1">
      <alignment horizontal="center"/>
    </xf>
    <xf numFmtId="164" fontId="15" fillId="6" borderId="2" xfId="0" applyNumberFormat="1" applyFont="1" applyFill="1" applyBorder="1" applyAlignment="1">
      <alignment horizontal="center"/>
    </xf>
    <xf numFmtId="0" fontId="14" fillId="0" borderId="65" xfId="0" applyFont="1" applyBorder="1" applyAlignment="1">
      <alignment horizontal="left" vertical="center"/>
    </xf>
    <xf numFmtId="0" fontId="14" fillId="0" borderId="65" xfId="0" applyFont="1" applyBorder="1"/>
    <xf numFmtId="10" fontId="14" fillId="0" borderId="65" xfId="0" applyNumberFormat="1" applyFont="1" applyBorder="1"/>
    <xf numFmtId="164" fontId="14" fillId="0" borderId="65" xfId="0" applyNumberFormat="1" applyFont="1" applyBorder="1"/>
    <xf numFmtId="0" fontId="0" fillId="0" borderId="23" xfId="0" applyBorder="1"/>
    <xf numFmtId="43" fontId="0" fillId="0" borderId="23" xfId="1" applyFont="1" applyBorder="1" applyAlignment="1"/>
    <xf numFmtId="0" fontId="29" fillId="0" borderId="3" xfId="0" applyFont="1" applyBorder="1"/>
    <xf numFmtId="10" fontId="16" fillId="19" borderId="18" xfId="0" applyNumberFormat="1" applyFont="1" applyFill="1" applyBorder="1"/>
    <xf numFmtId="164" fontId="16" fillId="19" borderId="18" xfId="0" applyNumberFormat="1" applyFont="1" applyFill="1" applyBorder="1"/>
    <xf numFmtId="10" fontId="16" fillId="19" borderId="5" xfId="0" applyNumberFormat="1" applyFont="1" applyFill="1" applyBorder="1"/>
    <xf numFmtId="164" fontId="16" fillId="19" borderId="15" xfId="0" applyNumberFormat="1" applyFont="1" applyFill="1" applyBorder="1"/>
    <xf numFmtId="10" fontId="16" fillId="4" borderId="5" xfId="0" applyNumberFormat="1" applyFont="1" applyFill="1" applyBorder="1"/>
    <xf numFmtId="164" fontId="16" fillId="4" borderId="15" xfId="0" applyNumberFormat="1" applyFont="1" applyFill="1" applyBorder="1"/>
    <xf numFmtId="10" fontId="13" fillId="4" borderId="5" xfId="0" applyNumberFormat="1" applyFont="1" applyFill="1" applyBorder="1"/>
    <xf numFmtId="164" fontId="13" fillId="4" borderId="15" xfId="0" applyNumberFormat="1" applyFont="1" applyFill="1" applyBorder="1"/>
    <xf numFmtId="10" fontId="16" fillId="4" borderId="4" xfId="0" applyNumberFormat="1" applyFont="1" applyFill="1" applyBorder="1"/>
    <xf numFmtId="164" fontId="16" fillId="4" borderId="13" xfId="0" applyNumberFormat="1" applyFont="1" applyFill="1" applyBorder="1"/>
    <xf numFmtId="9" fontId="16" fillId="5" borderId="37" xfId="0" applyNumberFormat="1" applyFont="1" applyFill="1" applyBorder="1" applyAlignment="1">
      <alignment horizontal="center" vertical="center"/>
    </xf>
    <xf numFmtId="164" fontId="16" fillId="5" borderId="71" xfId="0" applyNumberFormat="1" applyFont="1" applyFill="1" applyBorder="1" applyAlignment="1">
      <alignment horizontal="center" vertical="center"/>
    </xf>
    <xf numFmtId="10" fontId="15" fillId="11" borderId="69" xfId="0" applyNumberFormat="1" applyFont="1" applyFill="1" applyBorder="1"/>
    <xf numFmtId="164" fontId="15" fillId="11" borderId="8" xfId="0" applyNumberFormat="1" applyFont="1" applyFill="1" applyBorder="1"/>
    <xf numFmtId="0" fontId="14" fillId="0" borderId="1" xfId="0" applyFont="1" applyBorder="1" applyAlignment="1">
      <alignment horizontal="left" vertical="center"/>
    </xf>
    <xf numFmtId="0" fontId="14" fillId="0" borderId="10" xfId="0" applyFont="1" applyBorder="1"/>
    <xf numFmtId="10" fontId="14" fillId="0" borderId="10" xfId="0" applyNumberFormat="1" applyFont="1" applyBorder="1"/>
    <xf numFmtId="10" fontId="15" fillId="0" borderId="10" xfId="0" applyNumberFormat="1" applyFont="1" applyBorder="1"/>
    <xf numFmtId="164" fontId="15" fillId="0" borderId="2" xfId="0" applyNumberFormat="1" applyFont="1" applyBorder="1"/>
    <xf numFmtId="0" fontId="15" fillId="0" borderId="10" xfId="0" applyFont="1" applyBorder="1"/>
    <xf numFmtId="10" fontId="15" fillId="11" borderId="64" xfId="0" applyNumberFormat="1" applyFont="1" applyFill="1" applyBorder="1"/>
    <xf numFmtId="164" fontId="15" fillId="11" borderId="72" xfId="0" applyNumberFormat="1" applyFont="1" applyFill="1" applyBorder="1"/>
    <xf numFmtId="9" fontId="15" fillId="6" borderId="55" xfId="0" applyNumberFormat="1" applyFont="1" applyFill="1" applyBorder="1" applyAlignment="1">
      <alignment horizontal="center"/>
    </xf>
    <xf numFmtId="164" fontId="15" fillId="6" borderId="56" xfId="0" applyNumberFormat="1" applyFont="1" applyFill="1" applyBorder="1" applyAlignment="1">
      <alignment horizontal="center"/>
    </xf>
    <xf numFmtId="10" fontId="15" fillId="0" borderId="55" xfId="0" applyNumberFormat="1" applyFont="1" applyBorder="1"/>
    <xf numFmtId="164" fontId="15" fillId="0" borderId="56" xfId="0" applyNumberFormat="1" applyFont="1" applyBorder="1"/>
    <xf numFmtId="0" fontId="15" fillId="0" borderId="55" xfId="0" applyFont="1" applyBorder="1"/>
    <xf numFmtId="164" fontId="15" fillId="5" borderId="51" xfId="0" applyNumberFormat="1" applyFont="1" applyFill="1" applyBorder="1" applyAlignment="1">
      <alignment horizontal="center" vertical="center"/>
    </xf>
    <xf numFmtId="0" fontId="15" fillId="11" borderId="73" xfId="0" applyFont="1" applyFill="1" applyBorder="1"/>
    <xf numFmtId="164" fontId="15" fillId="11" borderId="74" xfId="0" applyNumberFormat="1" applyFont="1" applyFill="1" applyBorder="1"/>
    <xf numFmtId="9" fontId="15" fillId="5" borderId="37" xfId="0" applyNumberFormat="1" applyFont="1" applyFill="1" applyBorder="1" applyAlignment="1">
      <alignment horizontal="center" vertical="center"/>
    </xf>
    <xf numFmtId="164" fontId="15" fillId="5" borderId="71" xfId="0" applyNumberFormat="1" applyFont="1" applyFill="1" applyBorder="1" applyAlignment="1">
      <alignment horizontal="center" vertical="center"/>
    </xf>
    <xf numFmtId="0" fontId="14" fillId="0" borderId="52" xfId="0" applyFont="1" applyBorder="1" applyAlignment="1">
      <alignment horizontal="left" vertical="center"/>
    </xf>
    <xf numFmtId="0" fontId="14" fillId="0" borderId="57" xfId="0" applyFont="1" applyBorder="1" applyAlignment="1">
      <alignment horizontal="left" vertical="center"/>
    </xf>
    <xf numFmtId="0" fontId="14" fillId="0" borderId="68" xfId="0" applyFont="1" applyBorder="1" applyAlignment="1">
      <alignment horizontal="left" vertical="center"/>
    </xf>
    <xf numFmtId="0" fontId="14" fillId="0" borderId="72" xfId="0" applyFont="1" applyBorder="1"/>
    <xf numFmtId="43" fontId="24" fillId="10" borderId="32" xfId="1" applyFont="1" applyFill="1" applyBorder="1" applyAlignment="1"/>
    <xf numFmtId="0" fontId="30" fillId="0" borderId="16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 wrapText="1"/>
    </xf>
    <xf numFmtId="0" fontId="31" fillId="0" borderId="16" xfId="0" applyFont="1" applyBorder="1"/>
    <xf numFmtId="0" fontId="31" fillId="0" borderId="16" xfId="0" applyFont="1" applyBorder="1" applyAlignment="1">
      <alignment horizontal="center" vertical="center"/>
    </xf>
    <xf numFmtId="43" fontId="31" fillId="0" borderId="16" xfId="1" applyFont="1" applyBorder="1" applyAlignment="1"/>
    <xf numFmtId="10" fontId="31" fillId="0" borderId="16" xfId="4" applyNumberFormat="1" applyFont="1" applyBorder="1" applyAlignment="1"/>
    <xf numFmtId="43" fontId="31" fillId="0" borderId="16" xfId="0" applyNumberFormat="1" applyFont="1" applyBorder="1"/>
    <xf numFmtId="43" fontId="30" fillId="0" borderId="16" xfId="0" applyNumberFormat="1" applyFont="1" applyBorder="1"/>
    <xf numFmtId="0" fontId="33" fillId="0" borderId="0" xfId="0" applyFont="1"/>
    <xf numFmtId="10" fontId="33" fillId="0" borderId="0" xfId="4" applyNumberFormat="1" applyFont="1" applyAlignment="1"/>
    <xf numFmtId="43" fontId="33" fillId="0" borderId="0" xfId="0" applyNumberFormat="1" applyFont="1"/>
    <xf numFmtId="164" fontId="14" fillId="10" borderId="16" xfId="0" applyNumberFormat="1" applyFont="1" applyFill="1" applyBorder="1"/>
    <xf numFmtId="0" fontId="14" fillId="21" borderId="7" xfId="0" applyFont="1" applyFill="1" applyBorder="1" applyAlignment="1">
      <alignment horizontal="left" vertical="center"/>
    </xf>
    <xf numFmtId="0" fontId="14" fillId="21" borderId="7" xfId="0" applyFont="1" applyFill="1" applyBorder="1"/>
    <xf numFmtId="10" fontId="14" fillId="21" borderId="7" xfId="0" applyNumberFormat="1" applyFont="1" applyFill="1" applyBorder="1"/>
    <xf numFmtId="164" fontId="14" fillId="21" borderId="7" xfId="0" applyNumberFormat="1" applyFont="1" applyFill="1" applyBorder="1"/>
    <xf numFmtId="0" fontId="14" fillId="22" borderId="7" xfId="0" applyFont="1" applyFill="1" applyBorder="1" applyAlignment="1">
      <alignment horizontal="left" vertical="center"/>
    </xf>
    <xf numFmtId="0" fontId="14" fillId="22" borderId="7" xfId="0" applyFont="1" applyFill="1" applyBorder="1"/>
    <xf numFmtId="10" fontId="14" fillId="22" borderId="7" xfId="0" applyNumberFormat="1" applyFont="1" applyFill="1" applyBorder="1"/>
    <xf numFmtId="164" fontId="14" fillId="22" borderId="7" xfId="0" applyNumberFormat="1" applyFont="1" applyFill="1" applyBorder="1"/>
    <xf numFmtId="0" fontId="0" fillId="10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35" fillId="0" borderId="3" xfId="0" applyFont="1" applyBorder="1"/>
    <xf numFmtId="0" fontId="35" fillId="0" borderId="16" xfId="0" applyFont="1" applyBorder="1" applyAlignment="1">
      <alignment horizontal="right"/>
    </xf>
    <xf numFmtId="0" fontId="35" fillId="0" borderId="16" xfId="0" applyFont="1" applyBorder="1"/>
    <xf numFmtId="0" fontId="24" fillId="0" borderId="16" xfId="0" applyFont="1" applyBorder="1" applyAlignment="1">
      <alignment horizontal="center"/>
    </xf>
    <xf numFmtId="0" fontId="36" fillId="0" borderId="16" xfId="0" applyFont="1" applyBorder="1" applyAlignment="1">
      <alignment horizontal="center"/>
    </xf>
    <xf numFmtId="0" fontId="0" fillId="0" borderId="0" xfId="0" applyAlignment="1">
      <alignment vertical="top"/>
    </xf>
    <xf numFmtId="0" fontId="35" fillId="0" borderId="3" xfId="0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34" fillId="0" borderId="56" xfId="0" applyFont="1" applyBorder="1"/>
    <xf numFmtId="0" fontId="34" fillId="0" borderId="16" xfId="0" applyFont="1" applyBorder="1"/>
    <xf numFmtId="49" fontId="34" fillId="0" borderId="16" xfId="0" applyNumberFormat="1" applyFont="1" applyBorder="1" applyAlignment="1">
      <alignment horizontal="center"/>
    </xf>
    <xf numFmtId="43" fontId="34" fillId="0" borderId="16" xfId="1" applyFont="1" applyBorder="1" applyAlignment="1"/>
    <xf numFmtId="0" fontId="34" fillId="0" borderId="16" xfId="0" applyFont="1" applyBorder="1" applyAlignment="1">
      <alignment wrapText="1"/>
    </xf>
    <xf numFmtId="49" fontId="34" fillId="0" borderId="16" xfId="0" quotePrefix="1" applyNumberFormat="1" applyFont="1" applyBorder="1" applyAlignment="1">
      <alignment horizontal="center"/>
    </xf>
    <xf numFmtId="49" fontId="34" fillId="0" borderId="16" xfId="0" applyNumberFormat="1" applyFont="1" applyBorder="1"/>
    <xf numFmtId="164" fontId="13" fillId="2" borderId="16" xfId="0" applyNumberFormat="1" applyFont="1" applyFill="1" applyBorder="1"/>
    <xf numFmtId="164" fontId="13" fillId="2" borderId="21" xfId="0" applyNumberFormat="1" applyFont="1" applyFill="1" applyBorder="1"/>
    <xf numFmtId="43" fontId="18" fillId="0" borderId="43" xfId="1" applyFont="1" applyBorder="1" applyAlignment="1"/>
    <xf numFmtId="43" fontId="18" fillId="10" borderId="33" xfId="1" applyFont="1" applyFill="1" applyBorder="1" applyAlignment="1"/>
    <xf numFmtId="0" fontId="38" fillId="0" borderId="0" xfId="0" applyFont="1" applyAlignment="1">
      <alignment vertical="top" wrapText="1"/>
    </xf>
    <xf numFmtId="164" fontId="14" fillId="0" borderId="16" xfId="0" applyNumberFormat="1" applyFont="1" applyBorder="1" applyAlignment="1">
      <alignment horizontal="center"/>
    </xf>
    <xf numFmtId="43" fontId="14" fillId="0" borderId="16" xfId="1" applyFont="1" applyBorder="1" applyAlignment="1">
      <alignment horizontal="center"/>
    </xf>
    <xf numFmtId="0" fontId="14" fillId="0" borderId="57" xfId="0" applyFont="1" applyBorder="1" applyAlignment="1">
      <alignment horizontal="center" vertical="center" wrapText="1"/>
    </xf>
    <xf numFmtId="164" fontId="14" fillId="0" borderId="57" xfId="0" applyNumberFormat="1" applyFont="1" applyBorder="1"/>
    <xf numFmtId="164" fontId="13" fillId="2" borderId="68" xfId="0" applyNumberFormat="1" applyFont="1" applyFill="1" applyBorder="1"/>
    <xf numFmtId="0" fontId="14" fillId="10" borderId="16" xfId="0" applyFont="1" applyFill="1" applyBorder="1" applyAlignment="1">
      <alignment horizontal="center" vertical="center" wrapText="1"/>
    </xf>
    <xf numFmtId="43" fontId="14" fillId="10" borderId="16" xfId="1" applyFont="1" applyFill="1" applyBorder="1" applyAlignment="1">
      <alignment horizontal="center"/>
    </xf>
    <xf numFmtId="0" fontId="14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vertical="top"/>
    </xf>
    <xf numFmtId="0" fontId="37" fillId="0" borderId="3" xfId="0" applyFont="1" applyBorder="1" applyAlignment="1">
      <alignment horizontal="left" vertical="top" wrapText="1"/>
    </xf>
    <xf numFmtId="43" fontId="14" fillId="0" borderId="16" xfId="1" applyFont="1" applyBorder="1" applyAlignment="1">
      <alignment horizontal="center" vertical="center" wrapText="1"/>
    </xf>
    <xf numFmtId="0" fontId="0" fillId="25" borderId="16" xfId="0" applyFill="1" applyBorder="1"/>
    <xf numFmtId="0" fontId="37" fillId="0" borderId="62" xfId="0" applyFont="1" applyBorder="1" applyAlignment="1">
      <alignment horizontal="left" vertical="top" wrapText="1"/>
    </xf>
    <xf numFmtId="43" fontId="40" fillId="15" borderId="16" xfId="1" applyFont="1" applyFill="1" applyBorder="1" applyAlignment="1">
      <alignment horizontal="center" vertical="center" wrapText="1"/>
    </xf>
    <xf numFmtId="43" fontId="14" fillId="0" borderId="21" xfId="1" applyFont="1" applyFill="1" applyBorder="1" applyAlignment="1">
      <alignment horizontal="center" vertical="center" wrapText="1"/>
    </xf>
    <xf numFmtId="43" fontId="0" fillId="0" borderId="0" xfId="1" applyFont="1"/>
    <xf numFmtId="164" fontId="14" fillId="0" borderId="16" xfId="0" quotePrefix="1" applyNumberFormat="1" applyFont="1" applyBorder="1"/>
    <xf numFmtId="164" fontId="14" fillId="20" borderId="57" xfId="0" applyNumberFormat="1" applyFont="1" applyFill="1" applyBorder="1"/>
    <xf numFmtId="164" fontId="14" fillId="26" borderId="57" xfId="0" applyNumberFormat="1" applyFont="1" applyFill="1" applyBorder="1"/>
    <xf numFmtId="0" fontId="8" fillId="15" borderId="16" xfId="0" applyFont="1" applyFill="1" applyBorder="1"/>
    <xf numFmtId="164" fontId="14" fillId="27" borderId="57" xfId="0" applyNumberFormat="1" applyFont="1" applyFill="1" applyBorder="1"/>
    <xf numFmtId="164" fontId="14" fillId="16" borderId="57" xfId="0" applyNumberFormat="1" applyFont="1" applyFill="1" applyBorder="1"/>
    <xf numFmtId="0" fontId="8" fillId="0" borderId="20" xfId="0" applyFont="1" applyBorder="1"/>
    <xf numFmtId="0" fontId="8" fillId="0" borderId="16" xfId="0" applyFont="1" applyBorder="1"/>
    <xf numFmtId="0" fontId="8" fillId="0" borderId="28" xfId="0" applyFont="1" applyBorder="1"/>
    <xf numFmtId="0" fontId="8" fillId="0" borderId="29" xfId="0" applyFont="1" applyBorder="1"/>
    <xf numFmtId="0" fontId="8" fillId="0" borderId="61" xfId="0" applyFont="1" applyBorder="1"/>
    <xf numFmtId="168" fontId="8" fillId="0" borderId="48" xfId="1" applyNumberFormat="1" applyFont="1" applyBorder="1" applyAlignment="1"/>
    <xf numFmtId="168" fontId="8" fillId="0" borderId="21" xfId="1" applyNumberFormat="1" applyFont="1" applyBorder="1" applyAlignment="1"/>
    <xf numFmtId="43" fontId="8" fillId="0" borderId="21" xfId="1" applyFont="1" applyBorder="1" applyAlignment="1"/>
    <xf numFmtId="0" fontId="8" fillId="0" borderId="58" xfId="0" applyFont="1" applyBorder="1"/>
    <xf numFmtId="49" fontId="8" fillId="0" borderId="43" xfId="0" applyNumberFormat="1" applyFont="1" applyBorder="1"/>
    <xf numFmtId="0" fontId="8" fillId="0" borderId="43" xfId="0" applyFont="1" applyBorder="1"/>
    <xf numFmtId="0" fontId="8" fillId="0" borderId="59" xfId="0" applyFont="1" applyBorder="1"/>
    <xf numFmtId="0" fontId="8" fillId="0" borderId="56" xfId="0" applyFont="1" applyBorder="1"/>
    <xf numFmtId="49" fontId="8" fillId="0" borderId="16" xfId="0" applyNumberFormat="1" applyFont="1" applyBorder="1"/>
    <xf numFmtId="0" fontId="8" fillId="23" borderId="16" xfId="0" applyFont="1" applyFill="1" applyBorder="1"/>
    <xf numFmtId="49" fontId="8" fillId="0" borderId="16" xfId="0" quotePrefix="1" applyNumberFormat="1" applyFont="1" applyBorder="1"/>
    <xf numFmtId="0" fontId="8" fillId="24" borderId="16" xfId="0" applyFont="1" applyFill="1" applyBorder="1"/>
    <xf numFmtId="0" fontId="8" fillId="25" borderId="16" xfId="0" applyFont="1" applyFill="1" applyBorder="1"/>
    <xf numFmtId="0" fontId="8" fillId="16" borderId="16" xfId="0" applyFont="1" applyFill="1" applyBorder="1"/>
    <xf numFmtId="0" fontId="8" fillId="0" borderId="60" xfId="0" applyFont="1" applyBorder="1"/>
    <xf numFmtId="43" fontId="8" fillId="0" borderId="29" xfId="0" applyNumberFormat="1" applyFont="1" applyBorder="1"/>
    <xf numFmtId="0" fontId="8" fillId="0" borderId="0" xfId="0" applyFont="1"/>
    <xf numFmtId="43" fontId="8" fillId="0" borderId="57" xfId="1" applyFont="1" applyFill="1" applyBorder="1"/>
    <xf numFmtId="0" fontId="19" fillId="8" borderId="3" xfId="0" applyFont="1" applyFill="1" applyBorder="1" applyAlignment="1">
      <alignment vertical="center"/>
    </xf>
    <xf numFmtId="0" fontId="8" fillId="9" borderId="0" xfId="0" applyFont="1" applyFill="1"/>
    <xf numFmtId="9" fontId="15" fillId="3" borderId="5" xfId="0" applyNumberFormat="1" applyFont="1" applyFill="1" applyBorder="1"/>
    <xf numFmtId="9" fontId="15" fillId="3" borderId="5" xfId="0" applyNumberFormat="1" applyFont="1" applyFill="1" applyBorder="1" applyAlignment="1">
      <alignment horizontal="center"/>
    </xf>
    <xf numFmtId="0" fontId="8" fillId="15" borderId="37" xfId="0" applyFont="1" applyFill="1" applyBorder="1"/>
    <xf numFmtId="0" fontId="8" fillId="15" borderId="0" xfId="0" applyFont="1" applyFill="1"/>
    <xf numFmtId="0" fontId="8" fillId="15" borderId="2" xfId="0" applyFont="1" applyFill="1" applyBorder="1"/>
    <xf numFmtId="0" fontId="8" fillId="15" borderId="25" xfId="0" applyFont="1" applyFill="1" applyBorder="1"/>
    <xf numFmtId="0" fontId="8" fillId="16" borderId="38" xfId="0" applyFont="1" applyFill="1" applyBorder="1"/>
    <xf numFmtId="0" fontId="8" fillId="16" borderId="0" xfId="0" applyFont="1" applyFill="1"/>
    <xf numFmtId="0" fontId="8" fillId="16" borderId="2" xfId="0" applyFont="1" applyFill="1" applyBorder="1"/>
    <xf numFmtId="0" fontId="8" fillId="16" borderId="25" xfId="0" applyFont="1" applyFill="1" applyBorder="1"/>
    <xf numFmtId="0" fontId="8" fillId="17" borderId="38" xfId="0" applyFont="1" applyFill="1" applyBorder="1"/>
    <xf numFmtId="0" fontId="8" fillId="17" borderId="0" xfId="0" applyFont="1" applyFill="1"/>
    <xf numFmtId="0" fontId="8" fillId="17" borderId="2" xfId="0" applyFont="1" applyFill="1" applyBorder="1"/>
    <xf numFmtId="0" fontId="8" fillId="17" borderId="25" xfId="0" applyFont="1" applyFill="1" applyBorder="1"/>
    <xf numFmtId="0" fontId="8" fillId="7" borderId="38" xfId="0" applyFont="1" applyFill="1" applyBorder="1"/>
    <xf numFmtId="0" fontId="8" fillId="7" borderId="0" xfId="0" applyFont="1" applyFill="1"/>
    <xf numFmtId="0" fontId="8" fillId="7" borderId="2" xfId="0" applyFont="1" applyFill="1" applyBorder="1"/>
    <xf numFmtId="0" fontId="8" fillId="7" borderId="25" xfId="0" applyFont="1" applyFill="1" applyBorder="1"/>
    <xf numFmtId="0" fontId="8" fillId="14" borderId="38" xfId="0" applyFont="1" applyFill="1" applyBorder="1"/>
    <xf numFmtId="0" fontId="8" fillId="14" borderId="0" xfId="0" applyFont="1" applyFill="1"/>
    <xf numFmtId="0" fontId="8" fillId="14" borderId="2" xfId="0" applyFont="1" applyFill="1" applyBorder="1"/>
    <xf numFmtId="0" fontId="8" fillId="14" borderId="25" xfId="0" applyFont="1" applyFill="1" applyBorder="1"/>
    <xf numFmtId="0" fontId="8" fillId="13" borderId="38" xfId="0" applyFont="1" applyFill="1" applyBorder="1"/>
    <xf numFmtId="0" fontId="8" fillId="13" borderId="0" xfId="0" applyFont="1" applyFill="1"/>
    <xf numFmtId="0" fontId="8" fillId="13" borderId="2" xfId="0" applyFont="1" applyFill="1" applyBorder="1"/>
    <xf numFmtId="0" fontId="8" fillId="13" borderId="25" xfId="0" applyFont="1" applyFill="1" applyBorder="1"/>
    <xf numFmtId="0" fontId="19" fillId="8" borderId="3" xfId="0" applyFont="1" applyFill="1" applyBorder="1" applyAlignment="1">
      <alignment vertical="center" wrapText="1"/>
    </xf>
    <xf numFmtId="0" fontId="8" fillId="0" borderId="51" xfId="0" applyFont="1" applyBorder="1"/>
    <xf numFmtId="0" fontId="8" fillId="0" borderId="16" xfId="0" applyFont="1" applyBorder="1" applyAlignment="1">
      <alignment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vertical="center" wrapText="1"/>
    </xf>
    <xf numFmtId="43" fontId="8" fillId="0" borderId="16" xfId="1" applyFont="1" applyBorder="1"/>
    <xf numFmtId="0" fontId="7" fillId="0" borderId="16" xfId="0" applyFont="1" applyBorder="1"/>
    <xf numFmtId="0" fontId="37" fillId="15" borderId="16" xfId="0" applyFont="1" applyFill="1" applyBorder="1" applyAlignment="1">
      <alignment horizontal="left" vertical="top" wrapText="1"/>
    </xf>
    <xf numFmtId="0" fontId="37" fillId="23" borderId="16" xfId="0" applyFont="1" applyFill="1" applyBorder="1" applyAlignment="1">
      <alignment horizontal="left" vertical="top" wrapText="1"/>
    </xf>
    <xf numFmtId="0" fontId="37" fillId="16" borderId="16" xfId="0" applyFont="1" applyFill="1" applyBorder="1" applyAlignment="1">
      <alignment horizontal="left" vertical="top" wrapText="1"/>
    </xf>
    <xf numFmtId="0" fontId="37" fillId="27" borderId="16" xfId="0" applyFont="1" applyFill="1" applyBorder="1" applyAlignment="1">
      <alignment horizontal="left" vertical="top" wrapText="1"/>
    </xf>
    <xf numFmtId="0" fontId="37" fillId="20" borderId="16" xfId="0" applyFont="1" applyFill="1" applyBorder="1" applyAlignment="1">
      <alignment horizontal="left" vertical="top" wrapText="1"/>
    </xf>
    <xf numFmtId="0" fontId="37" fillId="26" borderId="16" xfId="0" applyFont="1" applyFill="1" applyBorder="1" applyAlignment="1">
      <alignment horizontal="left" vertical="top" wrapText="1"/>
    </xf>
    <xf numFmtId="0" fontId="37" fillId="7" borderId="16" xfId="0" applyFont="1" applyFill="1" applyBorder="1" applyAlignment="1">
      <alignment horizontal="left" vertical="top" wrapText="1"/>
    </xf>
    <xf numFmtId="0" fontId="37" fillId="28" borderId="16" xfId="0" applyFont="1" applyFill="1" applyBorder="1" applyAlignment="1">
      <alignment horizontal="left" vertical="top" wrapText="1"/>
    </xf>
    <xf numFmtId="0" fontId="6" fillId="0" borderId="29" xfId="0" applyFont="1" applyBorder="1"/>
    <xf numFmtId="0" fontId="14" fillId="0" borderId="3" xfId="0" applyFont="1" applyBorder="1" applyAlignment="1">
      <alignment horizontal="center" vertical="center" wrapText="1"/>
    </xf>
    <xf numFmtId="43" fontId="14" fillId="0" borderId="16" xfId="0" applyNumberFormat="1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/>
    </xf>
    <xf numFmtId="164" fontId="14" fillId="0" borderId="29" xfId="0" applyNumberFormat="1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4" fillId="0" borderId="29" xfId="0" applyFont="1" applyBorder="1" applyAlignment="1">
      <alignment horizontal="center" vertical="center" wrapText="1"/>
    </xf>
    <xf numFmtId="43" fontId="14" fillId="0" borderId="16" xfId="1" applyFont="1" applyFill="1" applyBorder="1" applyAlignment="1">
      <alignment horizontal="center" vertical="center"/>
    </xf>
    <xf numFmtId="43" fontId="14" fillId="0" borderId="16" xfId="1" applyFont="1" applyFill="1" applyBorder="1" applyAlignment="1">
      <alignment horizontal="center" vertical="center" wrapText="1"/>
    </xf>
    <xf numFmtId="0" fontId="18" fillId="0" borderId="16" xfId="0" applyFont="1" applyBorder="1" applyAlignment="1">
      <alignment horizontal="center"/>
    </xf>
    <xf numFmtId="43" fontId="14" fillId="0" borderId="3" xfId="0" applyNumberFormat="1" applyFont="1" applyBorder="1" applyAlignment="1">
      <alignment horizontal="center" vertical="center" wrapText="1"/>
    </xf>
    <xf numFmtId="43" fontId="14" fillId="0" borderId="3" xfId="1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164" fontId="21" fillId="0" borderId="16" xfId="0" applyNumberFormat="1" applyFont="1" applyBorder="1" applyAlignment="1">
      <alignment horizontal="center" vertical="center"/>
    </xf>
    <xf numFmtId="43" fontId="0" fillId="0" borderId="16" xfId="1" applyFont="1" applyFill="1" applyBorder="1" applyAlignment="1">
      <alignment vertical="center"/>
    </xf>
    <xf numFmtId="43" fontId="14" fillId="0" borderId="16" xfId="0" applyNumberFormat="1" applyFont="1" applyBorder="1" applyAlignment="1">
      <alignment horizontal="center" vertical="center"/>
    </xf>
    <xf numFmtId="0" fontId="14" fillId="0" borderId="29" xfId="0" applyFont="1" applyBorder="1" applyAlignment="1">
      <alignment horizontal="left" vertical="center"/>
    </xf>
    <xf numFmtId="0" fontId="5" fillId="13" borderId="16" xfId="0" applyFont="1" applyFill="1" applyBorder="1"/>
    <xf numFmtId="43" fontId="5" fillId="0" borderId="29" xfId="0" applyNumberFormat="1" applyFont="1" applyBorder="1"/>
    <xf numFmtId="0" fontId="5" fillId="25" borderId="16" xfId="0" applyFont="1" applyFill="1" applyBorder="1"/>
    <xf numFmtId="164" fontId="14" fillId="0" borderId="57" xfId="0" applyNumberFormat="1" applyFont="1" applyBorder="1" applyAlignment="1">
      <alignment horizontal="center" vertical="center"/>
    </xf>
    <xf numFmtId="10" fontId="14" fillId="7" borderId="2" xfId="0" applyNumberFormat="1" applyFont="1" applyFill="1" applyBorder="1"/>
    <xf numFmtId="10" fontId="14" fillId="7" borderId="27" xfId="0" applyNumberFormat="1" applyFont="1" applyFill="1" applyBorder="1"/>
    <xf numFmtId="164" fontId="14" fillId="7" borderId="39" xfId="0" applyNumberFormat="1" applyFont="1" applyFill="1" applyBorder="1"/>
    <xf numFmtId="164" fontId="14" fillId="7" borderId="79" xfId="0" applyNumberFormat="1" applyFont="1" applyFill="1" applyBorder="1"/>
    <xf numFmtId="10" fontId="14" fillId="4" borderId="79" xfId="0" applyNumberFormat="1" applyFont="1" applyFill="1" applyBorder="1"/>
    <xf numFmtId="10" fontId="15" fillId="0" borderId="16" xfId="0" applyNumberFormat="1" applyFont="1" applyBorder="1" applyAlignment="1">
      <alignment horizontal="right" vertical="center"/>
    </xf>
    <xf numFmtId="164" fontId="15" fillId="0" borderId="16" xfId="0" applyNumberFormat="1" applyFont="1" applyBorder="1" applyAlignment="1">
      <alignment horizontal="center" vertical="center"/>
    </xf>
    <xf numFmtId="0" fontId="14" fillId="0" borderId="56" xfId="0" applyFont="1" applyBorder="1" applyAlignment="1">
      <alignment horizontal="left" vertical="center"/>
    </xf>
    <xf numFmtId="43" fontId="14" fillId="0" borderId="57" xfId="1" applyFont="1" applyFill="1" applyBorder="1" applyAlignment="1">
      <alignment horizontal="center" vertical="center"/>
    </xf>
    <xf numFmtId="0" fontId="14" fillId="0" borderId="56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/>
    </xf>
    <xf numFmtId="43" fontId="4" fillId="0" borderId="16" xfId="1" applyFont="1" applyBorder="1" applyAlignment="1"/>
    <xf numFmtId="0" fontId="4" fillId="0" borderId="16" xfId="0" applyFont="1" applyBorder="1"/>
    <xf numFmtId="0" fontId="4" fillId="0" borderId="16" xfId="0" applyFont="1" applyBorder="1" applyAlignment="1">
      <alignment horizontal="center" vertical="center" wrapText="1"/>
    </xf>
    <xf numFmtId="43" fontId="4" fillId="0" borderId="16" xfId="1" applyFont="1" applyBorder="1" applyAlignment="1">
      <alignment horizontal="center"/>
    </xf>
    <xf numFmtId="0" fontId="4" fillId="0" borderId="16" xfId="0" applyFont="1" applyBorder="1" applyAlignment="1">
      <alignment horizontal="left"/>
    </xf>
    <xf numFmtId="43" fontId="4" fillId="0" borderId="16" xfId="1" applyFont="1" applyBorder="1"/>
    <xf numFmtId="43" fontId="0" fillId="0" borderId="16" xfId="1" applyFont="1" applyBorder="1"/>
    <xf numFmtId="43" fontId="4" fillId="0" borderId="16" xfId="1" applyFont="1" applyBorder="1" applyAlignment="1">
      <alignment vertical="center"/>
    </xf>
    <xf numFmtId="0" fontId="0" fillId="0" borderId="16" xfId="0" applyBorder="1" applyAlignment="1">
      <alignment vertical="center"/>
    </xf>
    <xf numFmtId="43" fontId="0" fillId="0" borderId="16" xfId="1" applyFont="1" applyBorder="1" applyAlignment="1">
      <alignment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/>
    </xf>
    <xf numFmtId="43" fontId="18" fillId="0" borderId="16" xfId="0" applyNumberFormat="1" applyFont="1" applyBorder="1"/>
    <xf numFmtId="0" fontId="4" fillId="0" borderId="18" xfId="0" applyFont="1" applyBorder="1" applyAlignment="1">
      <alignment horizontal="center" vertical="center" wrapText="1"/>
    </xf>
    <xf numFmtId="0" fontId="41" fillId="0" borderId="0" xfId="0" applyFont="1"/>
    <xf numFmtId="0" fontId="0" fillId="0" borderId="16" xfId="0" applyBorder="1"/>
    <xf numFmtId="43" fontId="8" fillId="0" borderId="43" xfId="1" applyFont="1" applyBorder="1"/>
    <xf numFmtId="43" fontId="0" fillId="0" borderId="16" xfId="0" applyNumberFormat="1" applyBorder="1"/>
    <xf numFmtId="43" fontId="8" fillId="0" borderId="16" xfId="0" applyNumberFormat="1" applyFont="1" applyBorder="1"/>
    <xf numFmtId="0" fontId="37" fillId="0" borderId="3" xfId="0" applyFont="1" applyBorder="1" applyAlignment="1">
      <alignment horizontal="left" vertical="top" wrapText="1"/>
    </xf>
    <xf numFmtId="0" fontId="0" fillId="0" borderId="3" xfId="0" applyBorder="1"/>
    <xf numFmtId="43" fontId="14" fillId="10" borderId="16" xfId="1" applyNumberFormat="1" applyFont="1" applyFill="1" applyBorder="1" applyAlignment="1">
      <alignment horizontal="center"/>
    </xf>
    <xf numFmtId="0" fontId="37" fillId="21" borderId="3" xfId="0" applyFont="1" applyFill="1" applyBorder="1" applyAlignment="1">
      <alignment horizontal="left" vertical="top" wrapText="1"/>
    </xf>
    <xf numFmtId="0" fontId="0" fillId="21" borderId="3" xfId="0" applyFill="1" applyBorder="1" applyAlignment="1">
      <alignment vertical="top"/>
    </xf>
    <xf numFmtId="0" fontId="0" fillId="0" borderId="0" xfId="0"/>
    <xf numFmtId="0" fontId="8" fillId="0" borderId="81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 wrapText="1"/>
    </xf>
    <xf numFmtId="0" fontId="8" fillId="0" borderId="82" xfId="0" applyFont="1" applyBorder="1" applyAlignment="1">
      <alignment horizontal="center" vertical="center" wrapText="1"/>
    </xf>
    <xf numFmtId="0" fontId="8" fillId="0" borderId="82" xfId="0" applyFont="1" applyBorder="1" applyAlignment="1">
      <alignment horizontal="center" vertical="center"/>
    </xf>
    <xf numFmtId="0" fontId="8" fillId="0" borderId="83" xfId="0" applyFont="1" applyBorder="1" applyAlignment="1">
      <alignment vertical="center" wrapText="1"/>
    </xf>
    <xf numFmtId="0" fontId="2" fillId="0" borderId="29" xfId="0" applyFont="1" applyBorder="1"/>
    <xf numFmtId="0" fontId="8" fillId="23" borderId="58" xfId="0" applyFont="1" applyFill="1" applyBorder="1"/>
    <xf numFmtId="49" fontId="8" fillId="23" borderId="43" xfId="0" applyNumberFormat="1" applyFont="1" applyFill="1" applyBorder="1"/>
    <xf numFmtId="49" fontId="8" fillId="23" borderId="43" xfId="0" applyNumberFormat="1" applyFont="1" applyFill="1" applyBorder="1" applyAlignment="1">
      <alignment horizontal="center"/>
    </xf>
    <xf numFmtId="0" fontId="2" fillId="0" borderId="61" xfId="0" applyFont="1" applyBorder="1"/>
    <xf numFmtId="0" fontId="2" fillId="0" borderId="60" xfId="0" applyFont="1" applyBorder="1"/>
    <xf numFmtId="49" fontId="2" fillId="0" borderId="29" xfId="0" applyNumberFormat="1" applyFont="1" applyBorder="1" applyAlignment="1">
      <alignment horizontal="center"/>
    </xf>
    <xf numFmtId="43" fontId="2" fillId="0" borderId="29" xfId="0" applyNumberFormat="1" applyFont="1" applyBorder="1"/>
    <xf numFmtId="43" fontId="34" fillId="0" borderId="57" xfId="1" applyFont="1" applyBorder="1"/>
    <xf numFmtId="0" fontId="8" fillId="23" borderId="43" xfId="0" applyFont="1" applyFill="1" applyBorder="1" applyAlignment="1">
      <alignment horizontal="center" vertical="center"/>
    </xf>
    <xf numFmtId="0" fontId="2" fillId="23" borderId="59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/>
    </xf>
    <xf numFmtId="0" fontId="12" fillId="0" borderId="18" xfId="0" applyFont="1" applyBorder="1"/>
    <xf numFmtId="0" fontId="12" fillId="0" borderId="19" xfId="0" applyFont="1" applyBorder="1"/>
    <xf numFmtId="0" fontId="13" fillId="2" borderId="20" xfId="0" applyFont="1" applyFill="1" applyBorder="1" applyAlignment="1">
      <alignment horizontal="center"/>
    </xf>
    <xf numFmtId="0" fontId="12" fillId="0" borderId="16" xfId="0" applyFont="1" applyBorder="1"/>
    <xf numFmtId="0" fontId="13" fillId="2" borderId="22" xfId="0" applyFont="1" applyFill="1" applyBorder="1" applyAlignment="1">
      <alignment horizontal="center"/>
    </xf>
    <xf numFmtId="0" fontId="12" fillId="0" borderId="23" xfId="0" applyFont="1" applyBorder="1"/>
    <xf numFmtId="0" fontId="18" fillId="0" borderId="20" xfId="0" applyFont="1" applyBorder="1" applyAlignment="1">
      <alignment horizontal="left"/>
    </xf>
    <xf numFmtId="0" fontId="18" fillId="0" borderId="16" xfId="0" applyFont="1" applyBorder="1" applyAlignment="1">
      <alignment horizontal="left"/>
    </xf>
    <xf numFmtId="0" fontId="14" fillId="0" borderId="20" xfId="0" applyFont="1" applyBorder="1" applyAlignment="1">
      <alignment horizontal="center" vertical="center" wrapText="1"/>
    </xf>
    <xf numFmtId="0" fontId="0" fillId="0" borderId="16" xfId="0" applyBorder="1"/>
    <xf numFmtId="0" fontId="8" fillId="0" borderId="54" xfId="0" applyFont="1" applyBorder="1" applyAlignment="1">
      <alignment horizontal="left"/>
    </xf>
    <xf numFmtId="0" fontId="8" fillId="0" borderId="55" xfId="0" applyFont="1" applyBorder="1" applyAlignment="1">
      <alignment horizontal="left"/>
    </xf>
    <xf numFmtId="0" fontId="8" fillId="0" borderId="63" xfId="0" applyFont="1" applyBorder="1" applyAlignment="1">
      <alignment horizontal="left"/>
    </xf>
    <xf numFmtId="0" fontId="18" fillId="18" borderId="45" xfId="0" applyFont="1" applyFill="1" applyBorder="1" applyAlignment="1">
      <alignment horizontal="center"/>
    </xf>
    <xf numFmtId="0" fontId="18" fillId="18" borderId="44" xfId="0" applyFont="1" applyFill="1" applyBorder="1" applyAlignment="1">
      <alignment horizontal="center"/>
    </xf>
    <xf numFmtId="0" fontId="24" fillId="10" borderId="31" xfId="0" applyFont="1" applyFill="1" applyBorder="1" applyAlignment="1">
      <alignment horizontal="left"/>
    </xf>
    <xf numFmtId="0" fontId="24" fillId="10" borderId="32" xfId="0" applyFont="1" applyFill="1" applyBorder="1" applyAlignment="1">
      <alignment horizontal="left"/>
    </xf>
    <xf numFmtId="0" fontId="18" fillId="0" borderId="20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28" xfId="0" applyFont="1" applyBorder="1" applyAlignment="1">
      <alignment horizontal="center"/>
    </xf>
    <xf numFmtId="0" fontId="18" fillId="0" borderId="29" xfId="0" applyFont="1" applyBorder="1" applyAlignment="1">
      <alignment horizontal="center"/>
    </xf>
    <xf numFmtId="0" fontId="18" fillId="0" borderId="30" xfId="0" applyFont="1" applyBorder="1" applyAlignment="1">
      <alignment horizontal="center"/>
    </xf>
    <xf numFmtId="0" fontId="18" fillId="0" borderId="47" xfId="0" applyFont="1" applyBorder="1" applyAlignment="1">
      <alignment horizontal="left"/>
    </xf>
    <xf numFmtId="0" fontId="18" fillId="0" borderId="43" xfId="0" applyFont="1" applyBorder="1" applyAlignment="1">
      <alignment horizontal="left"/>
    </xf>
    <xf numFmtId="0" fontId="19" fillId="8" borderId="3" xfId="0" applyFont="1" applyFill="1" applyBorder="1" applyAlignment="1">
      <alignment horizontal="left" vertical="center" wrapText="1"/>
    </xf>
    <xf numFmtId="0" fontId="11" fillId="0" borderId="45" xfId="0" applyFont="1" applyBorder="1" applyAlignment="1">
      <alignment horizontal="center"/>
    </xf>
    <xf numFmtId="0" fontId="12" fillId="0" borderId="44" xfId="0" applyFont="1" applyBorder="1"/>
    <xf numFmtId="0" fontId="12" fillId="0" borderId="46" xfId="0" applyFont="1" applyBorder="1"/>
    <xf numFmtId="0" fontId="4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43" fontId="4" fillId="0" borderId="16" xfId="1" applyFont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51" xfId="0" applyFont="1" applyFill="1" applyBorder="1" applyAlignment="1">
      <alignment horizontal="center"/>
    </xf>
    <xf numFmtId="0" fontId="42" fillId="11" borderId="52" xfId="0" applyFont="1" applyFill="1" applyBorder="1" applyAlignment="1">
      <alignment horizontal="center"/>
    </xf>
    <xf numFmtId="0" fontId="42" fillId="11" borderId="50" xfId="0" applyFont="1" applyFill="1" applyBorder="1" applyAlignment="1">
      <alignment horizontal="center"/>
    </xf>
    <xf numFmtId="0" fontId="42" fillId="11" borderId="53" xfId="0" applyFont="1" applyFill="1" applyBorder="1" applyAlignment="1">
      <alignment horizontal="center"/>
    </xf>
    <xf numFmtId="0" fontId="14" fillId="0" borderId="80" xfId="0" applyFont="1" applyBorder="1" applyAlignment="1">
      <alignment horizontal="left" vertical="center" wrapText="1"/>
    </xf>
    <xf numFmtId="0" fontId="14" fillId="0" borderId="77" xfId="0" applyFont="1" applyBorder="1" applyAlignment="1">
      <alignment horizontal="left" vertical="center" wrapText="1"/>
    </xf>
    <xf numFmtId="0" fontId="14" fillId="0" borderId="78" xfId="0" applyFont="1" applyBorder="1" applyAlignment="1">
      <alignment horizontal="left" vertical="center" wrapText="1"/>
    </xf>
    <xf numFmtId="0" fontId="37" fillId="0" borderId="44" xfId="0" applyFont="1" applyBorder="1" applyAlignment="1">
      <alignment horizontal="left" vertical="top" wrapText="1"/>
    </xf>
    <xf numFmtId="0" fontId="37" fillId="0" borderId="76" xfId="0" applyFont="1" applyBorder="1" applyAlignment="1">
      <alignment horizontal="left" vertical="top" wrapText="1"/>
    </xf>
    <xf numFmtId="0" fontId="13" fillId="2" borderId="53" xfId="0" applyFont="1" applyFill="1" applyBorder="1" applyAlignment="1">
      <alignment horizontal="center"/>
    </xf>
    <xf numFmtId="0" fontId="37" fillId="0" borderId="3" xfId="0" applyFont="1" applyBorder="1" applyAlignment="1">
      <alignment horizontal="left" vertical="top" wrapText="1"/>
    </xf>
    <xf numFmtId="164" fontId="14" fillId="16" borderId="7" xfId="0" applyNumberFormat="1" applyFont="1" applyFill="1" applyBorder="1" applyAlignment="1">
      <alignment horizontal="right"/>
    </xf>
    <xf numFmtId="0" fontId="8" fillId="16" borderId="1" xfId="0" applyFont="1" applyFill="1" applyBorder="1"/>
    <xf numFmtId="164" fontId="14" fillId="17" borderId="7" xfId="0" applyNumberFormat="1" applyFont="1" applyFill="1" applyBorder="1" applyAlignment="1">
      <alignment horizontal="right"/>
    </xf>
    <xf numFmtId="0" fontId="8" fillId="17" borderId="1" xfId="0" applyFont="1" applyFill="1" applyBorder="1"/>
    <xf numFmtId="164" fontId="14" fillId="7" borderId="7" xfId="0" applyNumberFormat="1" applyFont="1" applyFill="1" applyBorder="1" applyAlignment="1">
      <alignment horizontal="right"/>
    </xf>
    <xf numFmtId="0" fontId="8" fillId="7" borderId="1" xfId="0" applyFont="1" applyFill="1" applyBorder="1"/>
    <xf numFmtId="164" fontId="14" fillId="14" borderId="7" xfId="0" applyNumberFormat="1" applyFont="1" applyFill="1" applyBorder="1" applyAlignment="1">
      <alignment horizontal="right"/>
    </xf>
    <xf numFmtId="0" fontId="8" fillId="14" borderId="1" xfId="0" applyFont="1" applyFill="1" applyBorder="1"/>
    <xf numFmtId="164" fontId="14" fillId="15" borderId="7" xfId="0" applyNumberFormat="1" applyFont="1" applyFill="1" applyBorder="1" applyAlignment="1">
      <alignment horizontal="right"/>
    </xf>
    <xf numFmtId="0" fontId="8" fillId="15" borderId="1" xfId="0" applyFont="1" applyFill="1" applyBorder="1"/>
    <xf numFmtId="9" fontId="14" fillId="13" borderId="7" xfId="0" applyNumberFormat="1" applyFont="1" applyFill="1" applyBorder="1" applyAlignment="1">
      <alignment horizontal="right"/>
    </xf>
    <xf numFmtId="0" fontId="8" fillId="13" borderId="1" xfId="0" applyFont="1" applyFill="1" applyBorder="1"/>
    <xf numFmtId="9" fontId="15" fillId="3" borderId="5" xfId="0" applyNumberFormat="1" applyFont="1" applyFill="1" applyBorder="1" applyAlignment="1">
      <alignment horizontal="center"/>
    </xf>
    <xf numFmtId="0" fontId="12" fillId="0" borderId="5" xfId="0" applyFont="1" applyBorder="1"/>
    <xf numFmtId="0" fontId="14" fillId="3" borderId="5" xfId="0" applyFont="1" applyFill="1" applyBorder="1" applyAlignment="1">
      <alignment horizontal="left" vertical="center"/>
    </xf>
    <xf numFmtId="9" fontId="14" fillId="15" borderId="7" xfId="0" applyNumberFormat="1" applyFont="1" applyFill="1" applyBorder="1" applyAlignment="1">
      <alignment horizontal="right"/>
    </xf>
    <xf numFmtId="9" fontId="14" fillId="16" borderId="7" xfId="0" applyNumberFormat="1" applyFont="1" applyFill="1" applyBorder="1" applyAlignment="1">
      <alignment horizontal="right"/>
    </xf>
    <xf numFmtId="9" fontId="14" fillId="17" borderId="7" xfId="0" applyNumberFormat="1" applyFont="1" applyFill="1" applyBorder="1" applyAlignment="1">
      <alignment horizontal="right"/>
    </xf>
    <xf numFmtId="14" fontId="15" fillId="15" borderId="35" xfId="0" applyNumberFormat="1" applyFont="1" applyFill="1" applyBorder="1" applyAlignment="1">
      <alignment horizontal="right"/>
    </xf>
    <xf numFmtId="0" fontId="12" fillId="15" borderId="36" xfId="0" applyFont="1" applyFill="1" applyBorder="1"/>
    <xf numFmtId="14" fontId="14" fillId="15" borderId="7" xfId="0" applyNumberFormat="1" applyFont="1" applyFill="1" applyBorder="1" applyAlignment="1">
      <alignment horizontal="right"/>
    </xf>
    <xf numFmtId="0" fontId="8" fillId="15" borderId="1" xfId="0" applyFont="1" applyFill="1" applyBorder="1" applyAlignment="1">
      <alignment horizontal="right"/>
    </xf>
    <xf numFmtId="14" fontId="14" fillId="16" borderId="7" xfId="0" applyNumberFormat="1" applyFont="1" applyFill="1" applyBorder="1" applyAlignment="1">
      <alignment horizontal="right"/>
    </xf>
    <xf numFmtId="0" fontId="8" fillId="16" borderId="1" xfId="0" applyFont="1" applyFill="1" applyBorder="1" applyAlignment="1">
      <alignment horizontal="right"/>
    </xf>
    <xf numFmtId="10" fontId="14" fillId="15" borderId="7" xfId="0" applyNumberFormat="1" applyFont="1" applyFill="1" applyBorder="1" applyAlignment="1">
      <alignment horizontal="right"/>
    </xf>
    <xf numFmtId="165" fontId="14" fillId="15" borderId="7" xfId="0" applyNumberFormat="1" applyFont="1" applyFill="1" applyBorder="1" applyAlignment="1">
      <alignment horizontal="right" vertical="center"/>
    </xf>
    <xf numFmtId="10" fontId="14" fillId="15" borderId="9" xfId="0" applyNumberFormat="1" applyFont="1" applyFill="1" applyBorder="1" applyAlignment="1">
      <alignment horizontal="right"/>
    </xf>
    <xf numFmtId="0" fontId="12" fillId="15" borderId="11" xfId="0" applyFont="1" applyFill="1" applyBorder="1"/>
    <xf numFmtId="14" fontId="15" fillId="16" borderId="35" xfId="0" applyNumberFormat="1" applyFont="1" applyFill="1" applyBorder="1" applyAlignment="1">
      <alignment horizontal="right"/>
    </xf>
    <xf numFmtId="0" fontId="8" fillId="16" borderId="36" xfId="0" applyFont="1" applyFill="1" applyBorder="1"/>
    <xf numFmtId="165" fontId="14" fillId="16" borderId="7" xfId="0" applyNumberFormat="1" applyFont="1" applyFill="1" applyBorder="1" applyAlignment="1">
      <alignment horizontal="right" vertical="center"/>
    </xf>
    <xf numFmtId="10" fontId="14" fillId="16" borderId="9" xfId="0" applyNumberFormat="1" applyFont="1" applyFill="1" applyBorder="1" applyAlignment="1">
      <alignment horizontal="right"/>
    </xf>
    <xf numFmtId="0" fontId="12" fillId="16" borderId="11" xfId="0" applyFont="1" applyFill="1" applyBorder="1"/>
    <xf numFmtId="14" fontId="15" fillId="17" borderId="37" xfId="0" applyNumberFormat="1" applyFont="1" applyFill="1" applyBorder="1" applyAlignment="1">
      <alignment horizontal="right"/>
    </xf>
    <xf numFmtId="0" fontId="8" fillId="17" borderId="37" xfId="0" applyFont="1" applyFill="1" applyBorder="1"/>
    <xf numFmtId="14" fontId="14" fillId="17" borderId="7" xfId="0" applyNumberFormat="1" applyFont="1" applyFill="1" applyBorder="1" applyAlignment="1">
      <alignment horizontal="right"/>
    </xf>
    <xf numFmtId="0" fontId="8" fillId="17" borderId="1" xfId="0" applyFont="1" applyFill="1" applyBorder="1" applyAlignment="1">
      <alignment horizontal="right"/>
    </xf>
    <xf numFmtId="14" fontId="14" fillId="7" borderId="7" xfId="0" applyNumberFormat="1" applyFont="1" applyFill="1" applyBorder="1" applyAlignment="1">
      <alignment horizontal="right"/>
    </xf>
    <xf numFmtId="0" fontId="8" fillId="7" borderId="1" xfId="0" applyFont="1" applyFill="1" applyBorder="1" applyAlignment="1">
      <alignment horizontal="right"/>
    </xf>
    <xf numFmtId="14" fontId="14" fillId="14" borderId="7" xfId="0" applyNumberFormat="1" applyFont="1" applyFill="1" applyBorder="1" applyAlignment="1">
      <alignment horizontal="right"/>
    </xf>
    <xf numFmtId="0" fontId="8" fillId="14" borderId="1" xfId="0" applyFont="1" applyFill="1" applyBorder="1" applyAlignment="1">
      <alignment horizontal="right"/>
    </xf>
    <xf numFmtId="14" fontId="15" fillId="13" borderId="3" xfId="0" applyNumberFormat="1" applyFont="1" applyFill="1" applyBorder="1" applyAlignment="1">
      <alignment horizontal="right"/>
    </xf>
    <xf numFmtId="0" fontId="8" fillId="13" borderId="3" xfId="0" applyFont="1" applyFill="1" applyBorder="1"/>
    <xf numFmtId="14" fontId="14" fillId="17" borderId="39" xfId="0" applyNumberFormat="1" applyFont="1" applyFill="1" applyBorder="1" applyAlignment="1">
      <alignment horizontal="right"/>
    </xf>
    <xf numFmtId="0" fontId="8" fillId="17" borderId="26" xfId="0" applyFont="1" applyFill="1" applyBorder="1" applyAlignment="1">
      <alignment horizontal="right"/>
    </xf>
    <xf numFmtId="10" fontId="14" fillId="16" borderId="7" xfId="0" applyNumberFormat="1" applyFont="1" applyFill="1" applyBorder="1" applyAlignment="1">
      <alignment horizontal="right"/>
    </xf>
    <xf numFmtId="9" fontId="14" fillId="14" borderId="7" xfId="0" applyNumberFormat="1" applyFont="1" applyFill="1" applyBorder="1" applyAlignment="1">
      <alignment horizontal="right"/>
    </xf>
    <xf numFmtId="14" fontId="14" fillId="14" borderId="39" xfId="0" applyNumberFormat="1" applyFont="1" applyFill="1" applyBorder="1" applyAlignment="1">
      <alignment horizontal="right"/>
    </xf>
    <xf numFmtId="0" fontId="8" fillId="14" borderId="26" xfId="0" applyFont="1" applyFill="1" applyBorder="1" applyAlignment="1">
      <alignment horizontal="right"/>
    </xf>
    <xf numFmtId="165" fontId="14" fillId="7" borderId="7" xfId="0" applyNumberFormat="1" applyFont="1" applyFill="1" applyBorder="1" applyAlignment="1">
      <alignment horizontal="right" vertical="center"/>
    </xf>
    <xf numFmtId="165" fontId="14" fillId="7" borderId="1" xfId="0" applyNumberFormat="1" applyFont="1" applyFill="1" applyBorder="1" applyAlignment="1">
      <alignment horizontal="right" vertical="center"/>
    </xf>
    <xf numFmtId="10" fontId="14" fillId="7" borderId="9" xfId="0" applyNumberFormat="1" applyFont="1" applyFill="1" applyBorder="1" applyAlignment="1">
      <alignment horizontal="right"/>
    </xf>
    <xf numFmtId="10" fontId="14" fillId="7" borderId="11" xfId="0" applyNumberFormat="1" applyFont="1" applyFill="1" applyBorder="1" applyAlignment="1">
      <alignment horizontal="right"/>
    </xf>
    <xf numFmtId="165" fontId="14" fillId="14" borderId="7" xfId="0" applyNumberFormat="1" applyFont="1" applyFill="1" applyBorder="1" applyAlignment="1">
      <alignment horizontal="right" vertical="center"/>
    </xf>
    <xf numFmtId="14" fontId="14" fillId="13" borderId="35" xfId="0" applyNumberFormat="1" applyFont="1" applyFill="1" applyBorder="1" applyAlignment="1">
      <alignment horizontal="right"/>
    </xf>
    <xf numFmtId="0" fontId="8" fillId="13" borderId="36" xfId="0" applyFont="1" applyFill="1" applyBorder="1" applyAlignment="1">
      <alignment horizontal="right"/>
    </xf>
    <xf numFmtId="14" fontId="14" fillId="7" borderId="35" xfId="0" applyNumberFormat="1" applyFont="1" applyFill="1" applyBorder="1" applyAlignment="1">
      <alignment horizontal="right"/>
    </xf>
    <xf numFmtId="0" fontId="8" fillId="7" borderId="36" xfId="0" applyFont="1" applyFill="1" applyBorder="1" applyAlignment="1">
      <alignment horizontal="right"/>
    </xf>
    <xf numFmtId="10" fontId="14" fillId="17" borderId="7" xfId="0" applyNumberFormat="1" applyFont="1" applyFill="1" applyBorder="1" applyAlignment="1">
      <alignment horizontal="right"/>
    </xf>
    <xf numFmtId="14" fontId="15" fillId="14" borderId="37" xfId="0" applyNumberFormat="1" applyFont="1" applyFill="1" applyBorder="1" applyAlignment="1">
      <alignment horizontal="right"/>
    </xf>
    <xf numFmtId="0" fontId="8" fillId="14" borderId="37" xfId="0" applyFont="1" applyFill="1" applyBorder="1"/>
    <xf numFmtId="10" fontId="14" fillId="7" borderId="7" xfId="0" applyNumberFormat="1" applyFont="1" applyFill="1" applyBorder="1" applyAlignment="1">
      <alignment horizontal="right"/>
    </xf>
    <xf numFmtId="10" fontId="14" fillId="7" borderId="1" xfId="0" applyNumberFormat="1" applyFont="1" applyFill="1" applyBorder="1" applyAlignment="1">
      <alignment horizontal="right"/>
    </xf>
    <xf numFmtId="14" fontId="15" fillId="7" borderId="3" xfId="0" applyNumberFormat="1" applyFont="1" applyFill="1" applyBorder="1" applyAlignment="1">
      <alignment horizontal="right"/>
    </xf>
    <xf numFmtId="0" fontId="8" fillId="7" borderId="3" xfId="0" applyFont="1" applyFill="1" applyBorder="1"/>
    <xf numFmtId="9" fontId="14" fillId="7" borderId="7" xfId="0" applyNumberFormat="1" applyFont="1" applyFill="1" applyBorder="1" applyAlignment="1">
      <alignment horizontal="right"/>
    </xf>
    <xf numFmtId="165" fontId="14" fillId="17" borderId="7" xfId="0" applyNumberFormat="1" applyFont="1" applyFill="1" applyBorder="1" applyAlignment="1">
      <alignment horizontal="right" vertical="center"/>
    </xf>
    <xf numFmtId="10" fontId="14" fillId="17" borderId="41" xfId="0" applyNumberFormat="1" applyFont="1" applyFill="1" applyBorder="1" applyAlignment="1">
      <alignment horizontal="right"/>
    </xf>
    <xf numFmtId="0" fontId="12" fillId="17" borderId="42" xfId="0" applyFont="1" applyFill="1" applyBorder="1"/>
    <xf numFmtId="165" fontId="14" fillId="13" borderId="7" xfId="0" applyNumberFormat="1" applyFont="1" applyFill="1" applyBorder="1" applyAlignment="1">
      <alignment horizontal="right" vertical="center"/>
    </xf>
    <xf numFmtId="10" fontId="14" fillId="13" borderId="9" xfId="0" applyNumberFormat="1" applyFont="1" applyFill="1" applyBorder="1" applyAlignment="1">
      <alignment horizontal="right"/>
    </xf>
    <xf numFmtId="0" fontId="12" fillId="13" borderId="11" xfId="0" applyFont="1" applyFill="1" applyBorder="1"/>
    <xf numFmtId="164" fontId="14" fillId="13" borderId="7" xfId="0" applyNumberFormat="1" applyFont="1" applyFill="1" applyBorder="1" applyAlignment="1">
      <alignment horizontal="right"/>
    </xf>
    <xf numFmtId="10" fontId="14" fillId="13" borderId="7" xfId="0" applyNumberFormat="1" applyFont="1" applyFill="1" applyBorder="1" applyAlignment="1">
      <alignment horizontal="right"/>
    </xf>
    <xf numFmtId="14" fontId="14" fillId="13" borderId="7" xfId="0" applyNumberFormat="1" applyFont="1" applyFill="1" applyBorder="1" applyAlignment="1">
      <alignment horizontal="right"/>
    </xf>
    <xf numFmtId="0" fontId="8" fillId="13" borderId="1" xfId="0" applyFont="1" applyFill="1" applyBorder="1" applyAlignment="1">
      <alignment horizontal="right"/>
    </xf>
    <xf numFmtId="164" fontId="14" fillId="7" borderId="1" xfId="0" applyNumberFormat="1" applyFont="1" applyFill="1" applyBorder="1" applyAlignment="1">
      <alignment horizontal="right"/>
    </xf>
    <xf numFmtId="9" fontId="14" fillId="7" borderId="1" xfId="0" applyNumberFormat="1" applyFont="1" applyFill="1" applyBorder="1" applyAlignment="1">
      <alignment horizontal="right"/>
    </xf>
    <xf numFmtId="10" fontId="14" fillId="14" borderId="9" xfId="0" applyNumberFormat="1" applyFont="1" applyFill="1" applyBorder="1" applyAlignment="1">
      <alignment horizontal="right"/>
    </xf>
    <xf numFmtId="0" fontId="12" fillId="14" borderId="11" xfId="0" applyFont="1" applyFill="1" applyBorder="1"/>
    <xf numFmtId="10" fontId="14" fillId="14" borderId="7" xfId="0" applyNumberFormat="1" applyFont="1" applyFill="1" applyBorder="1" applyAlignment="1">
      <alignment horizontal="right"/>
    </xf>
    <xf numFmtId="0" fontId="0" fillId="0" borderId="16" xfId="0" applyBorder="1" applyAlignment="1">
      <alignment horizontal="center"/>
    </xf>
    <xf numFmtId="0" fontId="35" fillId="0" borderId="16" xfId="0" applyFont="1" applyBorder="1" applyAlignment="1">
      <alignment horizontal="center"/>
    </xf>
    <xf numFmtId="170" fontId="35" fillId="0" borderId="57" xfId="0" applyNumberFormat="1" applyFont="1" applyBorder="1" applyAlignment="1">
      <alignment horizontal="center"/>
    </xf>
    <xf numFmtId="170" fontId="35" fillId="0" borderId="56" xfId="0" applyNumberFormat="1" applyFont="1" applyBorder="1" applyAlignment="1">
      <alignment horizontal="center"/>
    </xf>
    <xf numFmtId="169" fontId="35" fillId="0" borderId="16" xfId="1" applyNumberFormat="1" applyFont="1" applyBorder="1" applyAlignment="1">
      <alignment horizontal="center"/>
    </xf>
    <xf numFmtId="0" fontId="18" fillId="0" borderId="16" xfId="0" applyFont="1" applyBorder="1" applyAlignment="1">
      <alignment horizontal="left" vertical="top"/>
    </xf>
    <xf numFmtId="0" fontId="0" fillId="0" borderId="57" xfId="0" applyBorder="1" applyAlignment="1">
      <alignment horizontal="center"/>
    </xf>
    <xf numFmtId="0" fontId="0" fillId="0" borderId="56" xfId="0" applyBorder="1" applyAlignment="1">
      <alignment horizontal="center"/>
    </xf>
    <xf numFmtId="0" fontId="18" fillId="0" borderId="16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6" fillId="0" borderId="16" xfId="0" applyFont="1" applyBorder="1" applyAlignment="1">
      <alignment horizontal="left"/>
    </xf>
    <xf numFmtId="0" fontId="8" fillId="0" borderId="16" xfId="0" applyFont="1" applyBorder="1" applyAlignment="1">
      <alignment horizontal="left" vertical="center" wrapText="1"/>
    </xf>
    <xf numFmtId="0" fontId="24" fillId="0" borderId="16" xfId="0" applyFont="1" applyBorder="1" applyAlignment="1">
      <alignment horizontal="center"/>
    </xf>
    <xf numFmtId="0" fontId="16" fillId="19" borderId="18" xfId="0" applyFont="1" applyFill="1" applyBorder="1" applyAlignment="1">
      <alignment horizontal="left" vertical="center"/>
    </xf>
    <xf numFmtId="9" fontId="14" fillId="0" borderId="18" xfId="0" applyNumberFormat="1" applyFont="1" applyBorder="1" applyAlignment="1">
      <alignment horizontal="right"/>
    </xf>
    <xf numFmtId="9" fontId="14" fillId="0" borderId="16" xfId="0" applyNumberFormat="1" applyFont="1" applyBorder="1" applyAlignment="1">
      <alignment horizontal="center"/>
    </xf>
    <xf numFmtId="9" fontId="14" fillId="0" borderId="23" xfId="0" applyNumberFormat="1" applyFont="1" applyBorder="1" applyAlignment="1">
      <alignment horizontal="center"/>
    </xf>
    <xf numFmtId="9" fontId="14" fillId="0" borderId="16" xfId="0" applyNumberFormat="1" applyFont="1" applyBorder="1" applyAlignment="1">
      <alignment horizontal="right"/>
    </xf>
    <xf numFmtId="166" fontId="14" fillId="0" borderId="16" xfId="0" applyNumberFormat="1" applyFont="1" applyBorder="1" applyAlignment="1">
      <alignment horizontal="right"/>
    </xf>
    <xf numFmtId="14" fontId="14" fillId="0" borderId="16" xfId="0" applyNumberFormat="1" applyFont="1" applyBorder="1" applyAlignment="1">
      <alignment horizontal="right"/>
    </xf>
    <xf numFmtId="166" fontId="14" fillId="0" borderId="16" xfId="0" applyNumberFormat="1" applyFont="1" applyBorder="1" applyAlignment="1">
      <alignment horizontal="right" wrapText="1"/>
    </xf>
    <xf numFmtId="166" fontId="15" fillId="4" borderId="16" xfId="0" applyNumberFormat="1" applyFont="1" applyFill="1" applyBorder="1" applyAlignment="1">
      <alignment horizontal="right"/>
    </xf>
    <xf numFmtId="164" fontId="15" fillId="4" borderId="16" xfId="0" applyNumberFormat="1" applyFont="1" applyFill="1" applyBorder="1" applyAlignment="1">
      <alignment horizontal="right"/>
    </xf>
    <xf numFmtId="0" fontId="16" fillId="19" borderId="14" xfId="0" applyFont="1" applyFill="1" applyBorder="1" applyAlignment="1">
      <alignment horizontal="left" vertical="center"/>
    </xf>
    <xf numFmtId="0" fontId="16" fillId="19" borderId="5" xfId="0" applyFont="1" applyFill="1" applyBorder="1" applyAlignment="1">
      <alignment horizontal="left" vertical="center"/>
    </xf>
    <xf numFmtId="0" fontId="15" fillId="0" borderId="52" xfId="0" applyFont="1" applyBorder="1" applyAlignment="1">
      <alignment horizontal="left" vertical="center"/>
    </xf>
    <xf numFmtId="0" fontId="8" fillId="0" borderId="50" xfId="0" applyFont="1" applyBorder="1"/>
    <xf numFmtId="0" fontId="22" fillId="8" borderId="66" xfId="0" applyFont="1" applyFill="1" applyBorder="1" applyAlignment="1">
      <alignment horizontal="left" vertical="center"/>
    </xf>
    <xf numFmtId="0" fontId="22" fillId="9" borderId="44" xfId="0" applyFont="1" applyFill="1" applyBorder="1"/>
    <xf numFmtId="9" fontId="21" fillId="8" borderId="44" xfId="0" applyNumberFormat="1" applyFont="1" applyFill="1" applyBorder="1" applyAlignment="1">
      <alignment horizontal="center"/>
    </xf>
    <xf numFmtId="0" fontId="20" fillId="9" borderId="75" xfId="0" applyFont="1" applyFill="1" applyBorder="1"/>
    <xf numFmtId="0" fontId="15" fillId="12" borderId="70" xfId="0" applyFont="1" applyFill="1" applyBorder="1" applyAlignment="1">
      <alignment horizontal="left" vertical="center"/>
    </xf>
    <xf numFmtId="0" fontId="12" fillId="11" borderId="37" xfId="0" applyFont="1" applyFill="1" applyBorder="1"/>
    <xf numFmtId="0" fontId="15" fillId="0" borderId="57" xfId="0" applyFont="1" applyBorder="1" applyAlignment="1">
      <alignment horizontal="left" vertical="center"/>
    </xf>
    <xf numFmtId="0" fontId="12" fillId="0" borderId="55" xfId="0" applyFont="1" applyBorder="1"/>
    <xf numFmtId="164" fontId="14" fillId="4" borderId="16" xfId="0" applyNumberFormat="1" applyFont="1" applyFill="1" applyBorder="1" applyAlignment="1">
      <alignment horizontal="right"/>
    </xf>
    <xf numFmtId="164" fontId="14" fillId="4" borderId="23" xfId="0" applyNumberFormat="1" applyFont="1" applyFill="1" applyBorder="1" applyAlignment="1">
      <alignment horizontal="right"/>
    </xf>
    <xf numFmtId="0" fontId="15" fillId="11" borderId="67" xfId="0" applyFont="1" applyFill="1" applyBorder="1" applyAlignment="1">
      <alignment horizontal="center"/>
    </xf>
    <xf numFmtId="0" fontId="12" fillId="11" borderId="73" xfId="0" applyFont="1" applyFill="1" applyBorder="1"/>
    <xf numFmtId="0" fontId="17" fillId="0" borderId="0" xfId="0" applyFont="1" applyAlignment="1">
      <alignment horizontal="left" vertical="center" wrapText="1"/>
    </xf>
    <xf numFmtId="0" fontId="0" fillId="0" borderId="0" xfId="0"/>
    <xf numFmtId="0" fontId="15" fillId="5" borderId="52" xfId="0" applyFont="1" applyFill="1" applyBorder="1" applyAlignment="1">
      <alignment horizontal="left" vertical="center"/>
    </xf>
    <xf numFmtId="0" fontId="12" fillId="0" borderId="50" xfId="0" applyFont="1" applyBorder="1"/>
    <xf numFmtId="0" fontId="15" fillId="6" borderId="57" xfId="0" applyFont="1" applyFill="1" applyBorder="1" applyAlignment="1">
      <alignment horizontal="left" vertical="center"/>
    </xf>
    <xf numFmtId="0" fontId="15" fillId="0" borderId="57" xfId="0" applyFont="1" applyBorder="1" applyAlignment="1">
      <alignment horizontal="center"/>
    </xf>
    <xf numFmtId="0" fontId="17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wrapText="1"/>
    </xf>
    <xf numFmtId="0" fontId="15" fillId="0" borderId="16" xfId="0" applyFont="1" applyBorder="1" applyAlignment="1">
      <alignment horizontal="center"/>
    </xf>
    <xf numFmtId="0" fontId="0" fillId="0" borderId="3" xfId="0" applyBorder="1"/>
    <xf numFmtId="0" fontId="15" fillId="6" borderId="1" xfId="0" applyFont="1" applyFill="1" applyBorder="1" applyAlignment="1">
      <alignment horizontal="left" vertical="center"/>
    </xf>
    <xf numFmtId="0" fontId="12" fillId="0" borderId="10" xfId="0" applyFont="1" applyBorder="1"/>
    <xf numFmtId="0" fontId="15" fillId="11" borderId="68" xfId="0" applyFont="1" applyFill="1" applyBorder="1" applyAlignment="1">
      <alignment horizontal="center"/>
    </xf>
    <xf numFmtId="0" fontId="12" fillId="11" borderId="64" xfId="0" applyFont="1" applyFill="1" applyBorder="1"/>
    <xf numFmtId="0" fontId="15" fillId="5" borderId="36" xfId="0" applyFont="1" applyFill="1" applyBorder="1" applyAlignment="1">
      <alignment horizontal="left" vertical="center"/>
    </xf>
    <xf numFmtId="0" fontId="12" fillId="0" borderId="6" xfId="0" applyFont="1" applyBorder="1"/>
    <xf numFmtId="0" fontId="15" fillId="11" borderId="11" xfId="0" applyFont="1" applyFill="1" applyBorder="1" applyAlignment="1">
      <alignment horizontal="center"/>
    </xf>
    <xf numFmtId="0" fontId="12" fillId="11" borderId="69" xfId="0" applyFont="1" applyFill="1" applyBorder="1"/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6" fillId="4" borderId="14" xfId="0" applyFont="1" applyFill="1" applyBorder="1" applyAlignment="1">
      <alignment horizontal="left" vertical="center"/>
    </xf>
    <xf numFmtId="0" fontId="16" fillId="4" borderId="5" xfId="0" applyFont="1" applyFill="1" applyBorder="1" applyAlignment="1">
      <alignment horizontal="left" vertical="center"/>
    </xf>
    <xf numFmtId="0" fontId="15" fillId="11" borderId="9" xfId="0" applyFont="1" applyFill="1" applyBorder="1" applyAlignment="1">
      <alignment horizontal="center"/>
    </xf>
    <xf numFmtId="0" fontId="12" fillId="11" borderId="9" xfId="0" applyFont="1" applyFill="1" applyBorder="1"/>
    <xf numFmtId="0" fontId="16" fillId="5" borderId="70" xfId="0" applyFont="1" applyFill="1" applyBorder="1" applyAlignment="1">
      <alignment horizontal="left" vertical="center"/>
    </xf>
    <xf numFmtId="0" fontId="12" fillId="0" borderId="37" xfId="0" applyFont="1" applyBorder="1"/>
    <xf numFmtId="0" fontId="16" fillId="4" borderId="12" xfId="0" applyFont="1" applyFill="1" applyBorder="1" applyAlignment="1">
      <alignment horizontal="left" vertical="center"/>
    </xf>
    <xf numFmtId="0" fontId="12" fillId="0" borderId="4" xfId="0" applyFont="1" applyBorder="1"/>
    <xf numFmtId="0" fontId="13" fillId="4" borderId="14" xfId="0" applyFont="1" applyFill="1" applyBorder="1" applyAlignment="1">
      <alignment horizontal="left" vertical="center"/>
    </xf>
    <xf numFmtId="0" fontId="13" fillId="11" borderId="57" xfId="0" applyFont="1" applyFill="1" applyBorder="1" applyAlignment="1">
      <alignment horizontal="center" vertical="center"/>
    </xf>
    <xf numFmtId="0" fontId="13" fillId="11" borderId="55" xfId="0" applyFont="1" applyFill="1" applyBorder="1" applyAlignment="1">
      <alignment horizontal="center" vertical="center"/>
    </xf>
    <xf numFmtId="0" fontId="13" fillId="11" borderId="56" xfId="0" applyFont="1" applyFill="1" applyBorder="1" applyAlignment="1">
      <alignment horizontal="center" vertical="center"/>
    </xf>
    <xf numFmtId="0" fontId="13" fillId="11" borderId="16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2" fillId="0" borderId="3" xfId="0" applyFont="1" applyBorder="1"/>
    <xf numFmtId="0" fontId="14" fillId="7" borderId="43" xfId="0" applyFont="1" applyFill="1" applyBorder="1" applyAlignment="1">
      <alignment horizontal="left"/>
    </xf>
    <xf numFmtId="0" fontId="14" fillId="7" borderId="16" xfId="0" applyFont="1" applyFill="1" applyBorder="1" applyAlignment="1">
      <alignment horizontal="left"/>
    </xf>
    <xf numFmtId="0" fontId="36" fillId="0" borderId="57" xfId="0" applyFont="1" applyBorder="1" applyAlignment="1">
      <alignment horizontal="left"/>
    </xf>
    <xf numFmtId="0" fontId="36" fillId="0" borderId="55" xfId="0" applyFont="1" applyBorder="1" applyAlignment="1">
      <alignment horizontal="left"/>
    </xf>
    <xf numFmtId="0" fontId="36" fillId="0" borderId="56" xfId="0" applyFont="1" applyBorder="1" applyAlignment="1">
      <alignment horizontal="left"/>
    </xf>
    <xf numFmtId="0" fontId="14" fillId="7" borderId="29" xfId="0" applyFont="1" applyFill="1" applyBorder="1" applyAlignment="1">
      <alignment horizontal="left"/>
    </xf>
    <xf numFmtId="0" fontId="31" fillId="0" borderId="16" xfId="0" applyFont="1" applyBorder="1" applyAlignment="1">
      <alignment horizontal="left" vertical="center" wrapText="1"/>
    </xf>
    <xf numFmtId="0" fontId="30" fillId="0" borderId="16" xfId="0" applyFont="1" applyBorder="1" applyAlignment="1">
      <alignment horizontal="right" vertical="center"/>
    </xf>
    <xf numFmtId="0" fontId="32" fillId="0" borderId="0" xfId="0" applyFont="1" applyAlignment="1">
      <alignment horizontal="left" vertical="center"/>
    </xf>
  </cellXfs>
  <cellStyles count="5">
    <cellStyle name="Hiperlink" xfId="2" builtinId="8" hidden="1"/>
    <cellStyle name="Hiperlink Visitado" xfId="3" builtinId="9" hidden="1"/>
    <cellStyle name="Normal" xfId="0" builtinId="0"/>
    <cellStyle name="Porcentagem" xfId="4" builtinId="5"/>
    <cellStyle name="Vírgula" xfId="1" builtinId="3"/>
  </cellStyles>
  <dxfs count="17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_-* #,##0.00_-;\-* #,##0.00_-;_-* &quot;-&quot;??_-;_-@"/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5" formatCode="_-* #,##0.00_-;\-* #,##0.00_-;_-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_-* #,##0.00_-;\-* #,##0.00_-;_-* &quot;-&quot;??_-;_-@"/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5" formatCode="_-* #,##0.00_-;\-* #,##0.00_-;_-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_-* #,##0.00_-;\-* #,##0.00_-;_-* &quot;-&quot;??_-;_-@"/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_-* #,##0.00_-;\-* #,##0.00_-;_-* &quot;-&quot;??_-;_-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_-* #,##0.00_-;\-* #,##0.00_-;_-* &quot;-&quot;??_-;_-@"/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_-* #,##0.00_-;\-* #,##0.00_-;_-* &quot;-&quot;??_-;_-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5" formatCode="_-* #,##0.00_-;\-* #,##0.00_-;_-* &quot;-&quot;??_-;_-@_-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_-* #,##0.00_-;\-* #,##0.00_-;_-* &quot;-&quot;??_-;_-@"/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5" formatCode="_-* #,##0.00_-;\-* #,##0.00_-;_-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_-* #,##0.00_-;\-* #,##0.00_-;_-* &quot;-&quot;??_-;_-@"/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5" formatCode="_-* #,##0.00_-;\-* #,##0.00_-;_-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fill>
        <patternFill patternType="none">
          <fgColor rgb="FF000000"/>
          <bgColor auto="1"/>
        </patternFill>
      </fill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_-* #,##0.00_-;\-* #,##0.00_-;_-* &quot;-&quot;??_-;_-@"/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5" formatCode="_-* #,##0.00_-;\-* #,##0.00_-;_-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_-* #,##0.00_-;\-* #,##0.00_-;_-* &quot;-&quot;??_-;_-@"/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5" formatCode="_-* #,##0.00_-;\-* #,##0.00_-;_-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fill>
        <patternFill patternType="none">
          <fgColor rgb="FF000000"/>
          <bgColor auto="1"/>
        </patternFill>
      </fill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_-* #,##0.00_-;\-* #,##0.00_-;_-* &quot;-&quot;??_-;_-@"/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5" formatCode="_-* #,##0.00_-;\-* #,##0.00_-;_-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_-* #,##0.00_-;\-* #,##0.00_-;_-* &quot;-&quot;??_-;_-@"/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5" formatCode="_-* #,##0.00_-;\-* #,##0.00_-;_-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fill>
        <patternFill patternType="none">
          <fgColor rgb="FF000000"/>
          <bgColor auto="1"/>
        </patternFill>
      </fill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-* #,##0.00_-;\-* #,##0.00_-;_-* &quot;-&quot;??_-;_-@_-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_-;\-* #,##0.00_-;_-* &quot;-&quot;??_-;_-@_-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39997558519241921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/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_-;\-* #,##0.00_-;_-* &quot;-&quot;??_-;_-@_-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35" formatCode="_-* #,##0.00_-;\-* #,##0.00_-;_-* &quot;-&quot;??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_-;\-* #,##0.00_-;_-* &quot;-&quot;??_-;_-@_-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0060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355600</xdr:colOff>
      <xdr:row>0</xdr:row>
      <xdr:rowOff>488950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4CED3B0-715F-42E0-8017-425190E6FB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5775" cy="485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358775</xdr:colOff>
      <xdr:row>0</xdr:row>
      <xdr:rowOff>492125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F2B1730-EC52-4E26-ABEF-A95235BB9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5775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9525</xdr:rowOff>
    </xdr:from>
    <xdr:to>
      <xdr:col>0</xdr:col>
      <xdr:colOff>552542</xdr:colOff>
      <xdr:row>1</xdr:row>
      <xdr:rowOff>7620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DD0CFAB-C462-4380-9F17-926663C7A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1" y="9525"/>
          <a:ext cx="529681" cy="5143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57149</xdr:colOff>
      <xdr:row>0</xdr:row>
      <xdr:rowOff>0</xdr:rowOff>
    </xdr:from>
    <xdr:to>
      <xdr:col>1</xdr:col>
      <xdr:colOff>666750</xdr:colOff>
      <xdr:row>1</xdr:row>
      <xdr:rowOff>28518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3BEC364-9D5C-471B-B5C8-DADDF8608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49" y="0"/>
          <a:ext cx="695326" cy="704793"/>
        </a:xfrm>
        <a:prstGeom prst="rect">
          <a:avLst/>
        </a:prstGeom>
      </xdr:spPr>
    </xdr:pic>
    <xdr:clientData/>
  </xdr:twoCellAnchor>
  <xdr:twoCellAnchor editAs="oneCell">
    <xdr:from>
      <xdr:col>1</xdr:col>
      <xdr:colOff>571499</xdr:colOff>
      <xdr:row>9</xdr:row>
      <xdr:rowOff>58307</xdr:rowOff>
    </xdr:from>
    <xdr:to>
      <xdr:col>6</xdr:col>
      <xdr:colOff>86337</xdr:colOff>
      <xdr:row>10</xdr:row>
      <xdr:rowOff>219140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046AB08-5E9C-4EBB-A32C-9ED53AB44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7224" y="2449082"/>
          <a:ext cx="3753463" cy="39895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38100</xdr:colOff>
      <xdr:row>0</xdr:row>
      <xdr:rowOff>491490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0E0AF8E-39C9-47C2-AB41-8035C2142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5775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38100</xdr:colOff>
      <xdr:row>0</xdr:row>
      <xdr:rowOff>491490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EC40AA5-DCD2-4C27-8682-E3D93E39B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5775" cy="4914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38100</xdr:colOff>
      <xdr:row>0</xdr:row>
      <xdr:rowOff>491490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5E7A51D-1457-4EFA-9E73-33541339D3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5775" cy="49149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38100</xdr:colOff>
      <xdr:row>0</xdr:row>
      <xdr:rowOff>491490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BC45528-743A-4671-A97B-62C0E1E46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5775" cy="49149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38100</xdr:colOff>
      <xdr:row>0</xdr:row>
      <xdr:rowOff>491490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70B4D40-7DC0-4926-AB44-AF169505D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5775" cy="49149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38100</xdr:colOff>
      <xdr:row>0</xdr:row>
      <xdr:rowOff>491490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654228E-CEAF-4BDB-A4C1-5580C7734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5775" cy="49149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38100</xdr:colOff>
      <xdr:row>0</xdr:row>
      <xdr:rowOff>491490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A607CC0-B01C-411C-9D68-41AD17A2E1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5775" cy="49149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38100</xdr:colOff>
      <xdr:row>0</xdr:row>
      <xdr:rowOff>491490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52A7D9C-0F76-45A4-9DA0-DF9DDCADD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5775" cy="49149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38100</xdr:colOff>
      <xdr:row>0</xdr:row>
      <xdr:rowOff>491490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2D0395C-5AAC-4D75-965F-C7292D31E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5775" cy="49149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38100</xdr:colOff>
      <xdr:row>0</xdr:row>
      <xdr:rowOff>491490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155B212-F01A-48B8-A5E7-DFFDAFC2B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5775" cy="49149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38100</xdr:colOff>
      <xdr:row>0</xdr:row>
      <xdr:rowOff>491490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3CDE148-1E04-4EDD-8AF3-F8C8BE199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5775" cy="49149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38100</xdr:colOff>
      <xdr:row>0</xdr:row>
      <xdr:rowOff>491490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547AC38-DA7F-4FAB-A94F-0131F05AB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5775" cy="49149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38100</xdr:colOff>
      <xdr:row>0</xdr:row>
      <xdr:rowOff>491490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E299BE1-85B4-4B10-ABE1-77F8524C8A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5775" cy="49149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38100</xdr:colOff>
      <xdr:row>0</xdr:row>
      <xdr:rowOff>491490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0CD719E-ADBB-4BD7-8A58-9789520FF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5775" cy="49149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38100</xdr:colOff>
      <xdr:row>0</xdr:row>
      <xdr:rowOff>491490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806BE69-8225-4BD8-BE22-908A7967F8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5775" cy="49149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38100</xdr:colOff>
      <xdr:row>0</xdr:row>
      <xdr:rowOff>491490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E06B4B7-021D-4BE2-8534-28E7CFF1D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5775" cy="49149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487680</xdr:colOff>
      <xdr:row>0</xdr:row>
      <xdr:rowOff>487680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A7FEC84-B69C-4C9C-94FA-AFA468BF3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7680" cy="48768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487680</xdr:colOff>
      <xdr:row>0</xdr:row>
      <xdr:rowOff>487680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E6F9116-E623-4B73-BF42-7C1BEA89E5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5775" cy="485775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529682</xdr:colOff>
      <xdr:row>1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EBC4F6B-661D-44B1-8846-E190DBA89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529681" cy="5143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bPOSTOS" displayName="tbPOSTOS" ref="A3:J37" totalsRowCount="1" headerRowDxfId="173" totalsRowDxfId="170" headerRowBorderDxfId="172" tableBorderDxfId="171" totalsRowBorderDxfId="169">
  <autoFilter ref="A3:J36" xr:uid="{00000000-0009-0000-0100-000002000000}"/>
  <tableColumns count="10">
    <tableColumn id="1" xr3:uid="{00000000-0010-0000-0000-000001000000}" name="LOCALIDADE" totalsRowLabel="Total" dataDxfId="168" totalsRowDxfId="167"/>
    <tableColumn id="7" xr3:uid="{B673F6AE-3078-4F56-855E-D8158A5273F9}" name="IDENTIFICAÇÃO" dataDxfId="166" totalsRowDxfId="165"/>
    <tableColumn id="2" xr3:uid="{00000000-0010-0000-0000-000002000000}" name="UNIDADE" dataDxfId="164" totalsRowDxfId="163"/>
    <tableColumn id="3" xr3:uid="{00000000-0010-0000-0000-000003000000}" name="LOCAL" dataDxfId="162" totalsRowDxfId="161"/>
    <tableColumn id="4" xr3:uid="{00000000-0010-0000-0000-000004000000}" name="TIPO DE POSTO" dataDxfId="160" totalsRowDxfId="159"/>
    <tableColumn id="8" xr3:uid="{52FCA342-97DF-4023-8B98-F1037A559DB3}" name="SETOR" dataDxfId="158" totalsRowDxfId="157"/>
    <tableColumn id="5" xr3:uid="{00000000-0010-0000-0000-000005000000}" name="QUANTIDADE" totalsRowFunction="sum" dataDxfId="156" totalsRowDxfId="155"/>
    <tableColumn id="9" xr3:uid="{D4C1AD8C-5449-4845-A05F-B88EAB1B8F95}" name="VALOR UNITÁRIO" dataDxfId="154" totalsRowDxfId="153" dataCellStyle="Vírgula">
      <calculatedColumnFormula array="1">IF(tbPOSTOS[[#This Row],[TIPO DE POSTO]]&lt;&gt;"",INDEX(INDIRECT(CONCATENATE("'",tbPOSTOS[[#This Row],[TIPO DE POSTO]],"'!$1:$162")),MATCH("VALOR TOTAL DO POSTO",INDIRECT(CONCATENATE("'",tbPOSTOS[[#This Row],[TIPO DE POSTO]],"'!$A:$A")),0),MATCH("00 - VALOR ESTIMADO",INDIRECT(CONCATENATE("'",tbPOSTOS[[#This Row],[TIPO DE POSTO]],"'!$25:$25")),0)+1),0)</calculatedColumnFormula>
    </tableColumn>
    <tableColumn id="10" xr3:uid="{A9CFB7FB-6424-4BFC-8613-207946DD0BC0}" name="VALOR MENSAL" totalsRowFunction="sum" dataDxfId="152" totalsRowDxfId="151">
      <calculatedColumnFormula>tbPOSTOS[[#This Row],[VALOR UNITÁRIO]]*tbPOSTOS[[#This Row],[QUANTIDADE]]</calculatedColumnFormula>
    </tableColumn>
    <tableColumn id="6" xr3:uid="{00000000-0010-0000-0000-000006000000}" name="TERMO" dataDxfId="150" totalsRowDxfId="14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BF2CE0F-D04A-41F7-BE69-50197A391521}" name="tbAREAS" displayName="tbAREAS" ref="A3:H1586" totalsRowCount="1" headerRowDxfId="148" dataDxfId="146" totalsRowDxfId="144" headerRowBorderDxfId="147" tableBorderDxfId="145" totalsRowBorderDxfId="143">
  <autoFilter ref="A3:H1585" xr:uid="{00000000-0009-0000-0100-000002000000}">
    <filterColumn colId="2">
      <filters>
        <filter val="13A"/>
      </filters>
    </filterColumn>
  </autoFilter>
  <tableColumns count="8">
    <tableColumn id="1" xr3:uid="{3470C0FA-3F25-493A-A35D-85F7B6227993}" name="LOCALIDADE" totalsRowLabel="Total" dataDxfId="142" totalsRowDxfId="141"/>
    <tableColumn id="7" xr3:uid="{0B179EAC-F099-47F9-881F-4632D0E47DEC}" name="UNIDADE" dataDxfId="140" totalsRowDxfId="139"/>
    <tableColumn id="3" xr3:uid="{7E937D4F-3002-4D42-8C65-AE5D905F13DA}" name="PRÉDIO" dataDxfId="138" totalsRowDxfId="137"/>
    <tableColumn id="2" xr3:uid="{97E329BE-9836-41A0-B04D-A2D5F8EBF7C5}" name="NOME" dataDxfId="136" totalsRowDxfId="135"/>
    <tableColumn id="4" xr3:uid="{729B4E0F-AA18-439D-960F-4114BD81CB43}" name="TIPO DE ÁREA" dataDxfId="134" totalsRowDxfId="133"/>
    <tableColumn id="5" xr3:uid="{43760C7E-F1E0-4B74-9184-FB36A276B0F7}" name="ÁREA EM M²" totalsRowFunction="sum" dataDxfId="132" totalsRowDxfId="131" dataCellStyle="Vírgula"/>
    <tableColumn id="6" xr3:uid="{233487AE-49E8-4B4B-956C-B8C236063012}" name="TERMO" dataDxfId="130" totalsRowDxfId="129"/>
    <tableColumn id="8" xr3:uid="{148A66A6-4A9D-4F52-8317-1AE539E74139}" name="VALOR MENSAL" dataDxfId="128" totalsRowDxfId="127" dataCellStyle="Vírgula">
      <calculatedColumnFormula>INDEX(PRODUTIVIDADES!$M:$M,MATCH(tbAREAS[[#This Row],[TIPO DE ÁREA]],PRODUTIVIDADES!$B:$B,0)+MATCH(tbAREAS[[#This Row],[LOCALIDADE]],PRODUTIVIDADES!$A:$A,0)-3)*tbAREAS[[#This Row],[ÁREA EM M²]]</calculatedColumnFormula>
    </tableColumn>
  </tableColumns>
  <tableStyleInfo name="TableStyleLight1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13523EE2-1D0B-4348-8A62-C5C6B16235F5}" name="tbUNIFORMESL" displayName="tbUNIFORMESL" ref="A4:H15" totalsRowCount="1" headerRowDxfId="126" dataDxfId="124" totalsRowDxfId="122" headerRowBorderDxfId="125" tableBorderDxfId="123" totalsRowBorderDxfId="121">
  <autoFilter ref="A4:H14" xr:uid="{4831D222-EB80-4CEA-B259-1F5B5ECD25D5}"/>
  <tableColumns count="8">
    <tableColumn id="1" xr3:uid="{27BA1A0A-A4C8-4AAC-961C-A75B54B95665}" name="ITEM" totalsRowLabel="Total" dataDxfId="120" totalsRowDxfId="119"/>
    <tableColumn id="2" xr3:uid="{ACE0E03F-598E-45C1-907F-DC8F7CD05D8E}" name="UNIDADE" dataDxfId="118" totalsRowDxfId="117"/>
    <tableColumn id="3" xr3:uid="{4313D9D2-2011-4726-A60A-85366F475F78}" name="QUANTIDADE MENSAL" dataDxfId="116" totalsRowDxfId="115" dataCellStyle="Vírgula"/>
    <tableColumn id="4" xr3:uid="{E311D55E-F5FE-4928-882C-1625AAB6FE9A}" name="VIDA ÚTIL (MESES)" dataDxfId="114" totalsRowDxfId="113" dataCellStyle="Vírgula"/>
    <tableColumn id="9" xr3:uid="{A94C830F-BA44-4385-9518-2F97E4FED2EB}" name="QUANTIDADE ANUAL" dataDxfId="112" totalsRowDxfId="111" dataCellStyle="Vírgula">
      <calculatedColumnFormula>tbUNIFORMESL[[#This Row],[QUANTIDADE MENSAL]]*12/tbUNIFORMESL[[#This Row],[VIDA ÚTIL (MESES)]]</calculatedColumnFormula>
    </tableColumn>
    <tableColumn id="5" xr3:uid="{089B0493-09E0-4B7B-B281-8F413F6AA7B8}" name="VL. UNITÁRIO" dataDxfId="110" totalsRowDxfId="109" dataCellStyle="Vírgula"/>
    <tableColumn id="6" xr3:uid="{39F2B7DA-D662-488A-8196-1F692A6671A7}" name="VL. MENSAL" totalsRowFunction="sum" dataDxfId="108" totalsRowDxfId="107" dataCellStyle="Vírgula">
      <calculatedColumnFormula>tbUNIFORMESL[[#This Row],[VL. ANUAL]]/12</calculatedColumnFormula>
    </tableColumn>
    <tableColumn id="7" xr3:uid="{F43069F3-D1B2-4B19-B43F-2DF4A297F2E1}" name="VL. ANUAL" totalsRowFunction="sum" dataDxfId="106" totalsRowDxfId="105" dataCellStyle="Vírgula">
      <calculatedColumnFormula>tbUNIFORMESL[[#This Row],[VL. UNITÁRIO]]*tbUNIFORMESL[[#This Row],[QUANTIDADE ANUAL]]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7F99B85-2D26-4D43-94DE-5497CB653DD7}" name="tbUNIFORMESC" displayName="tbUNIFORMESC" ref="A18:H31" totalsRowCount="1" headerRowDxfId="104" dataDxfId="102" totalsRowDxfId="100" headerRowBorderDxfId="103" tableBorderDxfId="101" totalsRowBorderDxfId="99">
  <autoFilter ref="A18:H30" xr:uid="{D7F99B85-2D26-4D43-94DE-5497CB653DD7}"/>
  <tableColumns count="8">
    <tableColumn id="1" xr3:uid="{772055DC-A61A-4853-B411-531EDEF50ACE}" name="ITEM" totalsRowLabel="Total" dataDxfId="98" totalsRowDxfId="97"/>
    <tableColumn id="2" xr3:uid="{51D92F54-6A48-4277-A30D-259FDF4332C7}" name="UNIDADE" dataDxfId="96" totalsRowDxfId="95"/>
    <tableColumn id="3" xr3:uid="{5188B24E-7B19-474A-83EE-BFBEF37EC295}" name="QUANTIDADE MENSAL" dataDxfId="94" totalsRowDxfId="93" dataCellStyle="Vírgula"/>
    <tableColumn id="4" xr3:uid="{A2DA99B0-949C-4D7E-9F15-19AC94D5F121}" name="VIDA ÚTIL (MESES)" dataDxfId="92" totalsRowDxfId="91" dataCellStyle="Vírgula"/>
    <tableColumn id="9" xr3:uid="{4CCC9903-F3AB-41E1-86EE-84B77DB4B13F}" name="QUANTIDADE ANUAL" dataDxfId="90" totalsRowDxfId="89" dataCellStyle="Vírgula">
      <calculatedColumnFormula>tbUNIFORMESC[[#This Row],[QUANTIDADE MENSAL]]*12/tbUNIFORMESC[[#This Row],[VIDA ÚTIL (MESES)]]</calculatedColumnFormula>
    </tableColumn>
    <tableColumn id="5" xr3:uid="{19B4C69F-8BB3-4BC9-AE9F-1720E0632EB5}" name="VL. UNITÁRIO" dataDxfId="88" totalsRowDxfId="87" dataCellStyle="Vírgula"/>
    <tableColumn id="6" xr3:uid="{6FCFCBCB-FB0F-408A-AED2-7AC519ACCE7A}" name="VL. MENSAL" totalsRowFunction="sum" dataDxfId="86" totalsRowDxfId="85" dataCellStyle="Vírgula">
      <calculatedColumnFormula>tbUNIFORMESC[[#This Row],[VL. ANUAL]]/12</calculatedColumnFormula>
    </tableColumn>
    <tableColumn id="7" xr3:uid="{FFBB1C42-CED1-4824-87D1-6F81B4546A84}" name="VL. ANUAL" totalsRowFunction="sum" dataDxfId="84" totalsRowDxfId="83" dataCellStyle="Vírgula">
      <calculatedColumnFormula>tbUNIFORMESC[[#This Row],[VL. UNITÁRIO]]*tbUNIFORMESC[[#This Row],[QUANTIDADE ANUAL]]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F17D0A8C-1F68-46A1-A717-1418B3E92952}" name="tbUNIFORMESE" displayName="tbUNIFORMESE" ref="A34:H46" totalsRowCount="1" headerRowDxfId="82" dataDxfId="80" totalsRowDxfId="78" headerRowBorderDxfId="81" tableBorderDxfId="79" totalsRowBorderDxfId="77">
  <autoFilter ref="A34:H45" xr:uid="{F17D0A8C-1F68-46A1-A717-1418B3E92952}"/>
  <tableColumns count="8">
    <tableColumn id="1" xr3:uid="{4447EDA0-32CF-4510-8613-82C25C8D426A}" name="ITEM" totalsRowLabel="Total" dataDxfId="76" totalsRowDxfId="75"/>
    <tableColumn id="2" xr3:uid="{C05FA873-AE47-424D-B753-ED0335372B0D}" name="UNIDADE" dataDxfId="74" totalsRowDxfId="73"/>
    <tableColumn id="3" xr3:uid="{89415A35-CC13-40E4-B03E-E83B17E193B4}" name="QUANTIDADE MENSAL" dataDxfId="72" totalsRowDxfId="71" dataCellStyle="Vírgula"/>
    <tableColumn id="4" xr3:uid="{D8D1332D-C460-4B2A-B086-4B79E23F34D9}" name="VIDA ÚTIL (MESES)" dataDxfId="70" totalsRowDxfId="69" dataCellStyle="Vírgula"/>
    <tableColumn id="9" xr3:uid="{4B359814-0EEA-4307-B3DE-F7790C18CCD1}" name="QUANTIDADE ANUAL" dataDxfId="68" totalsRowDxfId="67" dataCellStyle="Vírgula">
      <calculatedColumnFormula>tbUNIFORMESE[[#This Row],[QUANTIDADE MENSAL]]*12/tbUNIFORMESE[[#This Row],[VIDA ÚTIL (MESES)]]</calculatedColumnFormula>
    </tableColumn>
    <tableColumn id="5" xr3:uid="{C4BCB63E-F657-4FF0-A792-37245E69D19A}" name="VL. UNITÁRIO" dataDxfId="66" totalsRowDxfId="65" dataCellStyle="Vírgula"/>
    <tableColumn id="6" xr3:uid="{D2935FB6-DB2F-4B42-BB92-4A975F517669}" name="VL. MENSAL" totalsRowFunction="sum" dataDxfId="64" totalsRowDxfId="63" dataCellStyle="Vírgula">
      <calculatedColumnFormula>tbUNIFORMESE[[#This Row],[VL. ANUAL]]/12</calculatedColumnFormula>
    </tableColumn>
    <tableColumn id="7" xr3:uid="{2C8E2C1D-6934-4857-BC8D-C1856D8854C5}" name="VL. ANUAL" totalsRowFunction="sum" dataDxfId="62" totalsRowDxfId="61" dataCellStyle="Vírgula">
      <calculatedColumnFormula>tbUNIFORMESE[[#This Row],[VL. UNITÁRIO]]*tbUNIFORMESE[[#This Row],[QUANTIDADE ANUAL]]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F2EA299-A4D9-4AA9-BACB-5B5AAD2283AD}" name="tbPRODUTOSL" displayName="tbPRODUTOSL" ref="A4:G23" totalsRowCount="1" headerRowDxfId="60" totalsRowDxfId="58" tableBorderDxfId="59">
  <autoFilter ref="A4:G22" xr:uid="{C3DBD8E8-978B-47C2-86B4-C9C9A9FC837B}"/>
  <tableColumns count="7">
    <tableColumn id="1" xr3:uid="{DC2A09B8-D737-43AC-9FE9-6EB2B1AB1D0E}" name="ITEM" totalsRowLabel="Total" dataDxfId="57" totalsRowDxfId="56"/>
    <tableColumn id="3" xr3:uid="{61FB7991-39F1-4D68-A435-31997ADA528F}" name="UNIDADE" dataDxfId="55" totalsRowDxfId="54"/>
    <tableColumn id="4" xr3:uid="{53D09308-8151-4143-9F25-74F10520E0D0}" name="QUANTIDADE MENSAL" dataDxfId="53" totalsRowDxfId="52" dataCellStyle="Vírgula"/>
    <tableColumn id="5" xr3:uid="{F618EF36-01C0-4DBF-9EA3-69C90517163E}" name="QUANTIDADE ANUAL" dataDxfId="51" totalsRowDxfId="50">
      <calculatedColumnFormula>C5*12</calculatedColumnFormula>
    </tableColumn>
    <tableColumn id="6" xr3:uid="{5467DAE6-9E83-495D-B66B-EFD63FFB0284}" name="VL. UNITÁRIO" dataDxfId="49" totalsRowDxfId="48" dataCellStyle="Vírgula"/>
    <tableColumn id="7" xr3:uid="{22B0267E-AFD8-4B06-AE7D-FE233A795DFF}" name="VL. MENSAL" totalsRowFunction="sum" dataDxfId="47" totalsRowDxfId="46">
      <calculatedColumnFormula>E5*C5</calculatedColumnFormula>
    </tableColumn>
    <tableColumn id="8" xr3:uid="{4A5E6BA0-F67F-430C-91AF-336C86D1A2FA}" name="VL. ANUAL" totalsRowFunction="sum" dataDxfId="45" totalsRowDxfId="44">
      <calculatedColumnFormula>F5*12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E815E09-A207-4831-A569-4829086EB1F1}" name="tbMATERIAISL" displayName="tbMATERIAISL" ref="A26:H55" totalsRowCount="1" headerRowDxfId="43" dataDxfId="41" totalsRowDxfId="39" headerRowBorderDxfId="42" tableBorderDxfId="40" totalsRowBorderDxfId="38">
  <autoFilter ref="A26:H54" xr:uid="{4831D222-EB80-4CEA-B259-1F5B5ECD25D5}"/>
  <tableColumns count="8">
    <tableColumn id="1" xr3:uid="{FB19DC9B-22E6-40CB-AB30-CDC734BBBA14}" name="ITEM" totalsRowLabel="Total" dataDxfId="37" totalsRowDxfId="36"/>
    <tableColumn id="2" xr3:uid="{FA229B68-354F-422F-A8F0-035314B99AD4}" name="UNIDADE" dataDxfId="35" totalsRowDxfId="34"/>
    <tableColumn id="3" xr3:uid="{4CDBC7FF-3F68-4729-9B9F-CDFBB51ABF38}" name="QUANTIDADE MENSAL" dataDxfId="33" totalsRowDxfId="32" dataCellStyle="Vírgula"/>
    <tableColumn id="4" xr3:uid="{376694B9-5D56-49E4-8DB2-EED837746CC1}" name="VIDA ÚTIL (MESES)" dataDxfId="31" totalsRowDxfId="30" dataCellStyle="Vírgula"/>
    <tableColumn id="9" xr3:uid="{4D25F4D8-77B4-47A2-8F88-3EAAB487DE1E}" name="QUANTIDADE ANUAL" dataDxfId="29" totalsRowDxfId="28" dataCellStyle="Vírgula">
      <calculatedColumnFormula>tbMATERIAISL[[#This Row],[QUANTIDADE MENSAL]]*12/tbMATERIAISL[[#This Row],[VIDA ÚTIL (MESES)]]</calculatedColumnFormula>
    </tableColumn>
    <tableColumn id="5" xr3:uid="{263521C3-8623-4976-8FA8-D476DBEC3785}" name="VL. UNITÁRIO" dataDxfId="27" totalsRowDxfId="26" dataCellStyle="Vírgula"/>
    <tableColumn id="6" xr3:uid="{E1D417AA-1983-4034-B6D3-EE17B578A1D2}" name="VL. MENSAL" totalsRowFunction="sum" dataDxfId="25" totalsRowDxfId="24" dataCellStyle="Vírgula">
      <calculatedColumnFormula>tbMATERIAISL[[#This Row],[VL. ANUAL]]/12</calculatedColumnFormula>
    </tableColumn>
    <tableColumn id="7" xr3:uid="{5D1382FC-1F0C-4EAF-8A10-3D5EFE288792}" name="VL. ANUAL" totalsRowFunction="sum" dataDxfId="23" totalsRowDxfId="22" dataCellStyle="Vírgula">
      <calculatedColumnFormula>tbMATERIAISL[[#This Row],[VL. UNITÁRIO]]*tbMATERIAISL[[#This Row],[QUANTIDADE ANUAL]]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2948614-1F55-4CF5-AE7B-0FB9E546B61F}" name="tbEQUIPAMENTOSL" displayName="tbEQUIPAMENTOSL" ref="A58:H74" totalsRowCount="1" headerRowDxfId="21" dataDxfId="19" totalsRowDxfId="17" headerRowBorderDxfId="20" tableBorderDxfId="18" totalsRowBorderDxfId="16">
  <autoFilter ref="A58:H73" xr:uid="{40A39C6D-35FC-42C2-8A86-7FE18A4B6523}"/>
  <tableColumns count="8">
    <tableColumn id="1" xr3:uid="{AEC43565-85B1-41AD-8E0F-B483B5ED651F}" name="ITEM" totalsRowLabel="Total" dataDxfId="15" totalsRowDxfId="14"/>
    <tableColumn id="2" xr3:uid="{D6B695FD-813A-4B08-A85C-FC9970C5F68B}" name="UNIDADE" dataDxfId="13" totalsRowDxfId="12"/>
    <tableColumn id="3" xr3:uid="{C16436E5-F3C6-4CDD-B635-99997648816B}" name="QUANTIDADE MENSAL" dataDxfId="11" totalsRowDxfId="10" dataCellStyle="Vírgula"/>
    <tableColumn id="4" xr3:uid="{D9D9C1E3-60A9-4AC9-82D5-32114035D2CA}" name="VIDA ÚTIL (MESES)" dataDxfId="9" totalsRowDxfId="8" dataCellStyle="Vírgula"/>
    <tableColumn id="5" xr3:uid="{BDB13F10-91AF-41AF-BA6C-E26B61602522}" name="QUANTIDADE ANUAL" dataDxfId="7" totalsRowDxfId="6" dataCellStyle="Vírgula">
      <calculatedColumnFormula>tbEQUIPAMENTOSL[[#This Row],[QUANTIDADE MENSAL]]*12/tbEQUIPAMENTOSL[[#This Row],[VIDA ÚTIL (MESES)]]</calculatedColumnFormula>
    </tableColumn>
    <tableColumn id="6" xr3:uid="{62EE644E-5CEF-4B17-9EDA-8B20AC4B3A83}" name="VL. UNITÁRIO" dataDxfId="5" totalsRowDxfId="4" dataCellStyle="Vírgula"/>
    <tableColumn id="7" xr3:uid="{2FEB981F-FFBD-4EF0-A53F-AD64C2D205F5}" name="VL. MENSAL" totalsRowFunction="sum" dataDxfId="3" totalsRowDxfId="2" dataCellStyle="Vírgula">
      <calculatedColumnFormula>tbEQUIPAMENTOSL[[#This Row],[VL. ANUAL]]/12</calculatedColumnFormula>
    </tableColumn>
    <tableColumn id="8" xr3:uid="{C0E34DBB-526A-4352-AE20-76F69C796811}" name="VL. ANUAL" totalsRowFunction="sum" dataDxfId="1" totalsRowDxfId="0" dataCellStyle="Vírgula">
      <calculatedColumnFormula>tbEQUIPAMENTOSL[[#This Row],[QUANTIDADE ANUAL]]*tbEQUIPAMENTOSL[[#This Row],[VL. UNITÁRIO]]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4.bin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5.bin"/><Relationship Id="rId5" Type="http://schemas.openxmlformats.org/officeDocument/2006/relationships/table" Target="../tables/table8.xml"/><Relationship Id="rId4" Type="http://schemas.openxmlformats.org/officeDocument/2006/relationships/table" Target="../tables/table7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Y1138"/>
  <sheetViews>
    <sheetView topLeftCell="A99" workbookViewId="0">
      <selection activeCell="C197" sqref="C197"/>
    </sheetView>
  </sheetViews>
  <sheetFormatPr defaultColWidth="14.42578125" defaultRowHeight="15" customHeight="1" x14ac:dyDescent="0.25"/>
  <cols>
    <col min="1" max="1" width="2" customWidth="1"/>
    <col min="2" max="2" width="64.5703125" customWidth="1"/>
    <col min="3" max="3" width="16.28515625" customWidth="1"/>
    <col min="4" max="4" width="18.42578125" customWidth="1"/>
    <col min="5" max="5" width="18.7109375" bestFit="1" customWidth="1"/>
    <col min="6" max="6" width="17.140625" customWidth="1"/>
    <col min="7" max="25" width="8.7109375" customWidth="1"/>
  </cols>
  <sheetData>
    <row r="1" spans="1:25" s="38" customFormat="1" ht="40.5" customHeight="1" x14ac:dyDescent="0.25">
      <c r="B1" s="434" t="s">
        <v>0</v>
      </c>
      <c r="C1" s="434"/>
      <c r="D1" s="434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</row>
    <row r="2" spans="1:25" ht="15" customHeight="1" thickBot="1" x14ac:dyDescent="0.3"/>
    <row r="3" spans="1:25" ht="21.75" thickBot="1" x14ac:dyDescent="0.4">
      <c r="A3" s="435" t="s">
        <v>1</v>
      </c>
      <c r="B3" s="436"/>
      <c r="C3" s="436"/>
      <c r="D3" s="436"/>
      <c r="E3" s="436"/>
      <c r="F3" s="437"/>
    </row>
    <row r="4" spans="1:25" ht="15" customHeight="1" thickBot="1" x14ac:dyDescent="0.3"/>
    <row r="5" spans="1:25" ht="15.75" x14ac:dyDescent="0.25">
      <c r="A5" s="408" t="s">
        <v>2</v>
      </c>
      <c r="B5" s="409"/>
      <c r="C5" s="409"/>
      <c r="D5" s="409"/>
      <c r="E5" s="409"/>
      <c r="F5" s="410"/>
    </row>
    <row r="6" spans="1:25" x14ac:dyDescent="0.25">
      <c r="A6" s="417" t="s">
        <v>3</v>
      </c>
      <c r="B6" s="418"/>
      <c r="C6" s="27" t="s">
        <v>4</v>
      </c>
      <c r="D6" s="27" t="s">
        <v>5</v>
      </c>
      <c r="E6" s="27" t="s">
        <v>6</v>
      </c>
      <c r="F6" s="29" t="s">
        <v>7</v>
      </c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</row>
    <row r="7" spans="1:25" x14ac:dyDescent="0.25">
      <c r="A7" s="419" t="s">
        <v>8</v>
      </c>
      <c r="B7" s="420"/>
      <c r="C7" s="420"/>
      <c r="D7" s="420"/>
      <c r="E7" s="420"/>
      <c r="F7" s="421"/>
    </row>
    <row r="8" spans="1:25" x14ac:dyDescent="0.25">
      <c r="A8" s="262"/>
      <c r="B8" s="263" t="s">
        <v>9</v>
      </c>
      <c r="C8" s="28">
        <f>SUMIFS(tbAREAS[ÁREA EM M²],tbAREAS[TIPO DE ÁREA],RESUMO!B8,tbAREAS[LOCALIDADE],RESUMO!A$5)</f>
        <v>43550.999999999993</v>
      </c>
      <c r="D8" s="28">
        <f ca="1">INDEX(PRODUTIVIDADES!$B$6:$M$21,MATCH(B8,PRODUTIVIDADES!$B$6:$B$21,0),12)</f>
        <v>7.8</v>
      </c>
      <c r="E8" s="28">
        <f ca="1">D8*C8</f>
        <v>339697.79999999993</v>
      </c>
      <c r="F8" s="30">
        <f t="shared" ref="F8:F17" ca="1" si="0">E8*12</f>
        <v>4076373.5999999992</v>
      </c>
    </row>
    <row r="9" spans="1:25" x14ac:dyDescent="0.25">
      <c r="A9" s="262"/>
      <c r="B9" s="263" t="s">
        <v>10</v>
      </c>
      <c r="C9" s="28">
        <f>SUMIFS(tbAREAS[ÁREA EM M²],tbAREAS[TIPO DE ÁREA],RESUMO!B9,tbAREAS[LOCALIDADE],RESUMO!A$5)</f>
        <v>67607.689999999988</v>
      </c>
      <c r="D9" s="28">
        <f ca="1">INDEX(PRODUTIVIDADES!$B$6:$M$21,MATCH(B9,PRODUTIVIDADES!$B$6:$B$21,0),12)</f>
        <v>3.12</v>
      </c>
      <c r="E9" s="28">
        <f t="shared" ref="E9:E17" ca="1" si="1">D9*C9</f>
        <v>210935.99279999998</v>
      </c>
      <c r="F9" s="30">
        <f t="shared" ca="1" si="0"/>
        <v>2531231.9135999996</v>
      </c>
    </row>
    <row r="10" spans="1:25" x14ac:dyDescent="0.25">
      <c r="A10" s="262"/>
      <c r="B10" s="263" t="s">
        <v>11</v>
      </c>
      <c r="C10" s="28">
        <f>SUMIFS(tbAREAS[ÁREA EM M²],tbAREAS[TIPO DE ÁREA],RESUMO!B10,tbAREAS[LOCALIDADE],RESUMO!A$5)</f>
        <v>3956.46</v>
      </c>
      <c r="D10" s="28">
        <f ca="1">INDEX(PRODUTIVIDADES!$B$6:$M$21,MATCH(B10,PRODUTIVIDADES!$B$6:$B$21,0),12)</f>
        <v>3.12</v>
      </c>
      <c r="E10" s="28">
        <f t="shared" ca="1" si="1"/>
        <v>12344.155200000001</v>
      </c>
      <c r="F10" s="30">
        <f t="shared" ca="1" si="0"/>
        <v>148129.86240000001</v>
      </c>
    </row>
    <row r="11" spans="1:25" x14ac:dyDescent="0.25">
      <c r="A11" s="262"/>
      <c r="B11" s="263" t="s">
        <v>12</v>
      </c>
      <c r="C11" s="28">
        <f>SUMIFS(tbAREAS[ÁREA EM M²],tbAREAS[TIPO DE ÁREA],RESUMO!B11,tbAREAS[LOCALIDADE],RESUMO!A$5)</f>
        <v>157.61000000000001</v>
      </c>
      <c r="D11" s="28">
        <f ca="1">INDEX(PRODUTIVIDADES!$B$6:$M$21,MATCH(B11,PRODUTIVIDADES!$B$6:$B$21,0),12)</f>
        <v>3.12</v>
      </c>
      <c r="E11" s="28">
        <f t="shared" ca="1" si="1"/>
        <v>491.74320000000006</v>
      </c>
      <c r="F11" s="30">
        <f t="shared" ca="1" si="0"/>
        <v>5900.9184000000005</v>
      </c>
    </row>
    <row r="12" spans="1:25" x14ac:dyDescent="0.25">
      <c r="A12" s="262"/>
      <c r="B12" s="263" t="s">
        <v>13</v>
      </c>
      <c r="C12" s="28">
        <f>SUMIFS(tbAREAS[ÁREA EM M²],tbAREAS[TIPO DE ÁREA],RESUMO!B12,tbAREAS[LOCALIDADE],RESUMO!A$5)</f>
        <v>3928.5300000000007</v>
      </c>
      <c r="D12" s="28">
        <f ca="1">INDEX(PRODUTIVIDADES!$B$6:$M$21,MATCH(B12,PRODUTIVIDADES!$B$6:$B$21,0),12)</f>
        <v>3.12</v>
      </c>
      <c r="E12" s="28">
        <f t="shared" ca="1" si="1"/>
        <v>12257.013600000002</v>
      </c>
      <c r="F12" s="30">
        <f t="shared" ca="1" si="0"/>
        <v>147084.16320000001</v>
      </c>
    </row>
    <row r="13" spans="1:25" x14ac:dyDescent="0.25">
      <c r="A13" s="262"/>
      <c r="B13" s="263" t="s">
        <v>14</v>
      </c>
      <c r="C13" s="28">
        <f>SUMIFS(tbAREAS[ÁREA EM M²],tbAREAS[TIPO DE ÁREA],RESUMO!B13,tbAREAS[LOCALIDADE],RESUMO!A$5)</f>
        <v>49260.859999999993</v>
      </c>
      <c r="D13" s="28">
        <f ca="1">INDEX(PRODUTIVIDADES!$B$6:$M$21,MATCH(B13,PRODUTIVIDADES!$B$6:$B$21,0),12)</f>
        <v>8.5</v>
      </c>
      <c r="E13" s="28">
        <f t="shared" ca="1" si="1"/>
        <v>418717.30999999994</v>
      </c>
      <c r="F13" s="30">
        <f t="shared" ca="1" si="0"/>
        <v>5024607.7199999988</v>
      </c>
    </row>
    <row r="14" spans="1:25" x14ac:dyDescent="0.25">
      <c r="A14" s="262"/>
      <c r="B14" s="263" t="s">
        <v>15</v>
      </c>
      <c r="C14" s="28">
        <f>SUMIFS(tbAREAS[ÁREA EM M²],tbAREAS[TIPO DE ÁREA],RESUMO!B14,tbAREAS[LOCALIDADE],RESUMO!A$5)</f>
        <v>8837.44</v>
      </c>
      <c r="D14" s="28">
        <f ca="1">INDEX(PRODUTIVIDADES!$B$6:$M$21,MATCH(B14,PRODUTIVIDADES!$B$6:$B$21,0),12)</f>
        <v>0.69</v>
      </c>
      <c r="E14" s="28">
        <f t="shared" ca="1" si="1"/>
        <v>6097.8335999999999</v>
      </c>
      <c r="F14" s="30">
        <f t="shared" ca="1" si="0"/>
        <v>73174.003200000006</v>
      </c>
    </row>
    <row r="15" spans="1:25" x14ac:dyDescent="0.25">
      <c r="A15" s="264"/>
      <c r="B15" s="265" t="s">
        <v>16</v>
      </c>
      <c r="C15" s="28">
        <f>SUMIFS(tbAREAS[ÁREA EM M²],tbAREAS[TIPO DE ÁREA],RESUMO!B15,tbAREAS[LOCALIDADE],RESUMO!A$5)</f>
        <v>6678.2500000000009</v>
      </c>
      <c r="D15" s="28">
        <f ca="1">INDEX(PRODUTIVIDADES!$B$6:$M$21,MATCH(B15,PRODUTIVIDADES!$B$6:$B$21,0),12)</f>
        <v>0.78</v>
      </c>
      <c r="E15" s="28">
        <f t="shared" ca="1" si="1"/>
        <v>5209.0350000000008</v>
      </c>
      <c r="F15" s="30">
        <f t="shared" ca="1" si="0"/>
        <v>62508.420000000013</v>
      </c>
    </row>
    <row r="16" spans="1:25" x14ac:dyDescent="0.25">
      <c r="A16" s="264"/>
      <c r="B16" s="265" t="s">
        <v>17</v>
      </c>
      <c r="C16" s="28">
        <f>SUMIFS(tbAREAS[ÁREA EM M²],tbAREAS[TIPO DE ÁREA],RESUMO!B16,tbAREAS[LOCALIDADE],RESUMO!A$5)</f>
        <v>68712.830000000016</v>
      </c>
      <c r="D16" s="28">
        <f ca="1">INDEX(PRODUTIVIDADES!$B$6:$M$21,MATCH(B16,PRODUTIVIDADES!$B$6:$B$21,0),12)</f>
        <v>2.34</v>
      </c>
      <c r="E16" s="28">
        <f ca="1">D16*C16</f>
        <v>160788.02220000004</v>
      </c>
      <c r="F16" s="30">
        <f t="shared" ca="1" si="0"/>
        <v>1929456.2664000005</v>
      </c>
    </row>
    <row r="17" spans="1:6" x14ac:dyDescent="0.25">
      <c r="A17" s="264"/>
      <c r="B17" s="265" t="s">
        <v>18</v>
      </c>
      <c r="C17" s="28">
        <f>SUMIFS(tbAREAS[ÁREA EM M²],tbAREAS[TIPO DE ÁREA],RESUMO!B17,tbAREAS[LOCALIDADE],RESUMO!A$5)</f>
        <v>11223.899999999996</v>
      </c>
      <c r="D17" s="28">
        <f ca="1">INDEX(PRODUTIVIDADES!$B$6:$M$21,MATCH(B17,PRODUTIVIDADES!$B$6:$B$21,0),12)</f>
        <v>45.35</v>
      </c>
      <c r="E17" s="28">
        <f t="shared" ca="1" si="1"/>
        <v>509003.86499999982</v>
      </c>
      <c r="F17" s="30">
        <f t="shared" ca="1" si="0"/>
        <v>6108046.379999998</v>
      </c>
    </row>
    <row r="18" spans="1:6" x14ac:dyDescent="0.25">
      <c r="A18" s="419" t="s">
        <v>19</v>
      </c>
      <c r="B18" s="420"/>
      <c r="C18" s="420"/>
      <c r="D18" s="420"/>
      <c r="E18" s="420"/>
      <c r="F18" s="421"/>
    </row>
    <row r="19" spans="1:6" x14ac:dyDescent="0.25">
      <c r="A19" s="264"/>
      <c r="B19" s="334" t="s">
        <v>20</v>
      </c>
      <c r="C19" s="28">
        <f>SUMIFS(tbAREAS[ÁREA EM M²],tbAREAS[TIPO DE ÁREA],RESUMO!B19,tbAREAS[LOCALIDADE],RESUMO!A$5)</f>
        <v>10746.310000000001</v>
      </c>
      <c r="D19" s="28">
        <f ca="1">INDEX(PRODUTIVIDADES!$B$6:$M$21,MATCH(B19,PRODUTIVIDADES!$B$6:$B$21,0),12)</f>
        <v>0.78</v>
      </c>
      <c r="E19" s="28">
        <f ca="1">D19*C19</f>
        <v>8382.1218000000008</v>
      </c>
      <c r="F19" s="30">
        <f ca="1">E19*12</f>
        <v>100585.46160000001</v>
      </c>
    </row>
    <row r="20" spans="1:6" x14ac:dyDescent="0.25">
      <c r="A20" s="419" t="s">
        <v>1103</v>
      </c>
      <c r="B20" s="420"/>
      <c r="C20" s="420"/>
      <c r="D20" s="420"/>
      <c r="E20" s="420"/>
      <c r="F20" s="421"/>
    </row>
    <row r="21" spans="1:6" x14ac:dyDescent="0.25">
      <c r="A21" s="264"/>
      <c r="B21" s="265" t="s">
        <v>21</v>
      </c>
      <c r="C21" s="28">
        <f>SUMIFS(tbAREAS[ÁREA EM M²],tbAREAS[TIPO DE ÁREA],RESUMO!B21,tbAREAS[LOCALIDADE],RESUMO!A$5)</f>
        <v>55187.589999999982</v>
      </c>
      <c r="D21" s="28">
        <f ca="1">INDEX(PRODUTIVIDADES!$B$6:$M$21,MATCH(B21,PRODUTIVIDADES!$B$6:$B$21,0),12)</f>
        <v>0.17</v>
      </c>
      <c r="E21" s="28">
        <f ca="1">D21*C21</f>
        <v>9381.8902999999973</v>
      </c>
      <c r="F21" s="30">
        <f ca="1">E21*12</f>
        <v>112582.68359999996</v>
      </c>
    </row>
    <row r="22" spans="1:6" x14ac:dyDescent="0.25">
      <c r="A22" s="264"/>
      <c r="B22" s="265" t="s">
        <v>22</v>
      </c>
      <c r="C22" s="28">
        <f>SUMIFS(tbAREAS[ÁREA EM M²],tbAREAS[TIPO DE ÁREA],RESUMO!B22,tbAREAS[LOCALIDADE],RESUMO!A$5)</f>
        <v>54917.399999999994</v>
      </c>
      <c r="D22" s="28">
        <f ca="1">INDEX(PRODUTIVIDADES!$B$6:$M$21,MATCH(B22,PRODUTIVIDADES!$B$6:$B$21,0),12)</f>
        <v>0.4</v>
      </c>
      <c r="E22" s="28">
        <f ca="1">D22*C22</f>
        <v>21966.959999999999</v>
      </c>
      <c r="F22" s="30">
        <f ca="1">E22*12</f>
        <v>263603.52</v>
      </c>
    </row>
    <row r="23" spans="1:6" x14ac:dyDescent="0.25">
      <c r="A23" s="264"/>
      <c r="B23" s="265" t="s">
        <v>23</v>
      </c>
      <c r="C23" s="28">
        <f>SUMIFS(tbAREAS[ÁREA EM M²],tbAREAS[TIPO DE ÁREA],RESUMO!B23,tbAREAS[LOCALIDADE],RESUMO!A$5)</f>
        <v>4190</v>
      </c>
      <c r="D23" s="28">
        <f ca="1">INDEX(PRODUTIVIDADES!$B$6:$M$21,MATCH(B23,PRODUTIVIDADES!$B$6:$B$21,0),12)</f>
        <v>0.4</v>
      </c>
      <c r="E23" s="28">
        <f ca="1">D23*C23</f>
        <v>1676</v>
      </c>
      <c r="F23" s="30">
        <f ca="1">E23*12</f>
        <v>20112</v>
      </c>
    </row>
    <row r="24" spans="1:6" x14ac:dyDescent="0.25">
      <c r="A24" s="419" t="s">
        <v>24</v>
      </c>
      <c r="B24" s="420"/>
      <c r="C24" s="420"/>
      <c r="D24" s="420"/>
      <c r="E24" s="420"/>
      <c r="F24" s="421"/>
    </row>
    <row r="25" spans="1:6" x14ac:dyDescent="0.25">
      <c r="A25" s="264"/>
      <c r="B25" s="265" t="s">
        <v>25</v>
      </c>
      <c r="C25" s="28">
        <f>SUMIFS(tbPOSTOS[QUANTIDADE],tbPOSTOS[IDENTIFICAÇÃO],RESUMO!B25,tbPOSTOS[LOCALIDADE],RESUMO!A$5)</f>
        <v>10</v>
      </c>
      <c r="D25" s="256" cm="1">
        <f t="array" aca="1" ref="D25" ca="1">IF(C25&gt;0,INDEX(INDIRECT(CONCATENATE("'",VLOOKUP(B25,COD_POSTOS,2,0),"'!$1:$162")),MATCH("VALOR TOTAL DO POSTO",INDIRECT(CONCATENATE("'",VLOOKUP(B25,COD_POSTOS,2,0),"'!$A:$A")),0),MATCH("00 - VALOR ESTIMADO",INDIRECT(CONCATENATE("'",VLOOKUP(B25,COD_POSTOS,2,0),"'!$25:$25")),0)+1),0)</f>
        <v>5073.5200000000004</v>
      </c>
      <c r="E25" s="28">
        <f t="shared" ref="E25:E30" ca="1" si="2">D25*C25</f>
        <v>50735.200000000004</v>
      </c>
      <c r="F25" s="30">
        <f t="shared" ref="F25:F30" ca="1" si="3">E25*12</f>
        <v>608822.4</v>
      </c>
    </row>
    <row r="26" spans="1:6" x14ac:dyDescent="0.25">
      <c r="A26" s="264"/>
      <c r="B26" s="265" t="s">
        <v>26</v>
      </c>
      <c r="C26" s="28">
        <f>SUMIFS(tbPOSTOS[QUANTIDADE],tbPOSTOS[IDENTIFICAÇÃO],RESUMO!B26,tbPOSTOS[LOCALIDADE],RESUMO!A$5)</f>
        <v>16</v>
      </c>
      <c r="D26" s="256" cm="1">
        <f t="array" aca="1" ref="D26" ca="1">IF(C26&gt;0,INDEX(INDIRECT(CONCATENATE("'",VLOOKUP(B26,COD_POSTOS,2,0),"'!$1:$162")),MATCH("VALOR TOTAL DO POSTO",INDIRECT(CONCATENATE("'",VLOOKUP(B26,COD_POSTOS,2,0),"'!$A:$A")),0),MATCH("00 - VALOR ESTIMADO",INDIRECT(CONCATENATE("'",VLOOKUP(B26,COD_POSTOS,2,0),"'!$25:$25")),0)+1),0)</f>
        <v>5816.54</v>
      </c>
      <c r="E26" s="28">
        <f t="shared" ca="1" si="2"/>
        <v>93064.639999999999</v>
      </c>
      <c r="F26" s="30">
        <f t="shared" ca="1" si="3"/>
        <v>1116775.68</v>
      </c>
    </row>
    <row r="27" spans="1:6" x14ac:dyDescent="0.25">
      <c r="A27" s="264"/>
      <c r="B27" s="265" t="s">
        <v>27</v>
      </c>
      <c r="C27" s="28">
        <f>SUMIFS(tbPOSTOS[QUANTIDADE],tbPOSTOS[IDENTIFICAÇÃO],RESUMO!B27,tbPOSTOS[LOCALIDADE],RESUMO!A$5)</f>
        <v>25</v>
      </c>
      <c r="D27" s="256" cm="1">
        <f t="array" aca="1" ref="D27" ca="1">IF(C27&gt;0,INDEX(INDIRECT(CONCATENATE("'",VLOOKUP(B27,COD_POSTOS,2,0),"'!$1:$162")),MATCH("VALOR TOTAL DO POSTO",INDIRECT(CONCATENATE("'",VLOOKUP(B27,COD_POSTOS,2,0),"'!$A:$A")),0),MATCH("00 - VALOR ESTIMADO",INDIRECT(CONCATENATE("'",VLOOKUP(B27,COD_POSTOS,2,0),"'!$25:$25")),0)+1),0)</f>
        <v>6143.08</v>
      </c>
      <c r="E27" s="28">
        <f t="shared" ca="1" si="2"/>
        <v>153577</v>
      </c>
      <c r="F27" s="30">
        <f t="shared" ca="1" si="3"/>
        <v>1842924</v>
      </c>
    </row>
    <row r="28" spans="1:6" x14ac:dyDescent="0.25">
      <c r="A28" s="264"/>
      <c r="B28" s="265" t="s">
        <v>28</v>
      </c>
      <c r="C28" s="28">
        <f>SUMIFS(tbPOSTOS[QUANTIDADE],tbPOSTOS[IDENTIFICAÇÃO],RESUMO!B28,tbPOSTOS[LOCALIDADE],RESUMO!A$5)</f>
        <v>1</v>
      </c>
      <c r="D28" s="256" cm="1">
        <f t="array" aca="1" ref="D28" ca="1">IF(C28&gt;0,INDEX(INDIRECT(CONCATENATE("'",VLOOKUP(B28,COD_POSTOS,2,0),"'!$1:$162")),MATCH("VALOR TOTAL DO POSTO",INDIRECT(CONCATENATE("'",VLOOKUP(B28,COD_POSTOS,2,0),"'!$A:$A")),0),MATCH("00 - VALOR ESTIMADO",INDIRECT(CONCATENATE("'",VLOOKUP(B28,COD_POSTOS,2,0),"'!$25:$25")),0)+1),0)</f>
        <v>5073.5200000000004</v>
      </c>
      <c r="E28" s="28">
        <f t="shared" ca="1" si="2"/>
        <v>5073.5200000000004</v>
      </c>
      <c r="F28" s="30">
        <f t="shared" ca="1" si="3"/>
        <v>60882.240000000005</v>
      </c>
    </row>
    <row r="29" spans="1:6" x14ac:dyDescent="0.25">
      <c r="A29" s="264"/>
      <c r="B29" s="265" t="s">
        <v>29</v>
      </c>
      <c r="C29" s="28">
        <f>SUMIFS(tbPOSTOS[QUANTIDADE],tbPOSTOS[IDENTIFICAÇÃO],RESUMO!B29,tbPOSTOS[LOCALIDADE],RESUMO!A$5)</f>
        <v>3</v>
      </c>
      <c r="D29" s="256" cm="1">
        <f t="array" aca="1" ref="D29" ca="1">IF(C29&gt;0,INDEX(INDIRECT(CONCATENATE("'",VLOOKUP(B29,COD_POSTOS,2,0),"'!$1:$162")),MATCH("VALOR TOTAL DO POSTO",INDIRECT(CONCATENATE("'",VLOOKUP(B29,COD_POSTOS,2,0),"'!$A:$A")),0),MATCH("00 - VALOR ESTIMADO",INDIRECT(CONCATENATE("'",VLOOKUP(B29,COD_POSTOS,2,0),"'!$25:$25")),0)+1),0)</f>
        <v>7092.57</v>
      </c>
      <c r="E29" s="28">
        <f t="shared" ca="1" si="2"/>
        <v>21277.71</v>
      </c>
      <c r="F29" s="30">
        <f t="shared" ca="1" si="3"/>
        <v>255332.52</v>
      </c>
    </row>
    <row r="30" spans="1:6" x14ac:dyDescent="0.25">
      <c r="A30" s="264"/>
      <c r="B30" s="265" t="s">
        <v>30</v>
      </c>
      <c r="C30" s="28">
        <f>SUMIFS(tbPOSTOS[QUANTIDADE],tbPOSTOS[IDENTIFICAÇÃO],RESUMO!B30,tbPOSTOS[LOCALIDADE],RESUMO!A$5)</f>
        <v>2</v>
      </c>
      <c r="D30" s="256" cm="1">
        <f t="array" aca="1" ref="D30" ca="1">IF(C30&gt;0,INDEX(INDIRECT(CONCATENATE("'",VLOOKUP(B30,COD_POSTOS,2,0),"'!$1:$162")),MATCH("VALOR TOTAL DO POSTO",INDIRECT(CONCATENATE("'",VLOOKUP(B30,COD_POSTOS,2,0),"'!$A:$A")),0),MATCH("00 - VALOR ESTIMADO",INDIRECT(CONCATENATE("'",VLOOKUP(B30,COD_POSTOS,2,0),"'!$25:$25")),0)+1),0)</f>
        <v>7092.57</v>
      </c>
      <c r="E30" s="28">
        <f t="shared" ca="1" si="2"/>
        <v>14185.14</v>
      </c>
      <c r="F30" s="30">
        <f t="shared" ca="1" si="3"/>
        <v>170221.68</v>
      </c>
    </row>
    <row r="31" spans="1:6" ht="15.75" x14ac:dyDescent="0.25">
      <c r="A31" s="411" t="s">
        <v>31</v>
      </c>
      <c r="B31" s="412"/>
      <c r="C31" s="235">
        <f>SUM(C21:C23,C19,C8:C17)</f>
        <v>388955.86999999994</v>
      </c>
      <c r="D31" s="235"/>
      <c r="E31" s="235">
        <f ca="1">SUM(E8:E17,E19,E21:E23)</f>
        <v>1716949.7426999998</v>
      </c>
      <c r="F31" s="236">
        <f ca="1">SUM(F8:F17,F19,F21:F23)</f>
        <v>20603396.912399996</v>
      </c>
    </row>
    <row r="32" spans="1:6" ht="16.5" thickBot="1" x14ac:dyDescent="0.3">
      <c r="A32" s="413" t="s">
        <v>32</v>
      </c>
      <c r="B32" s="414"/>
      <c r="C32" s="31">
        <f>SUM(C25:C30)</f>
        <v>57</v>
      </c>
      <c r="D32" s="31"/>
      <c r="E32" s="31">
        <f ca="1">SUM(E25:E30)</f>
        <v>337913.21</v>
      </c>
      <c r="F32" s="32">
        <f ca="1">SUM(F25:F30)</f>
        <v>4054958.5200000005</v>
      </c>
    </row>
    <row r="33" spans="1:6" ht="15" customHeight="1" thickBot="1" x14ac:dyDescent="0.3"/>
    <row r="34" spans="1:6" ht="15" customHeight="1" x14ac:dyDescent="0.25">
      <c r="A34" s="408" t="s">
        <v>33</v>
      </c>
      <c r="B34" s="409"/>
      <c r="C34" s="409"/>
      <c r="D34" s="409"/>
      <c r="E34" s="409"/>
      <c r="F34" s="410"/>
    </row>
    <row r="35" spans="1:6" ht="15" customHeight="1" x14ac:dyDescent="0.25">
      <c r="A35" s="417" t="s">
        <v>3</v>
      </c>
      <c r="B35" s="418"/>
      <c r="C35" s="27" t="s">
        <v>4</v>
      </c>
      <c r="D35" s="27" t="s">
        <v>5</v>
      </c>
      <c r="E35" s="27" t="s">
        <v>6</v>
      </c>
      <c r="F35" s="29" t="s">
        <v>7</v>
      </c>
    </row>
    <row r="36" spans="1:6" ht="15" customHeight="1" x14ac:dyDescent="0.25">
      <c r="A36" s="419" t="s">
        <v>8</v>
      </c>
      <c r="B36" s="420"/>
      <c r="C36" s="420"/>
      <c r="D36" s="420"/>
      <c r="E36" s="420"/>
      <c r="F36" s="421"/>
    </row>
    <row r="37" spans="1:6" ht="15" customHeight="1" x14ac:dyDescent="0.25">
      <c r="A37" s="262"/>
      <c r="B37" s="263" t="s">
        <v>9</v>
      </c>
      <c r="C37" s="28">
        <f>SUMIFS(tbAREAS[ÁREA EM M²],tbAREAS[TIPO DE ÁREA],RESUMO!B37,tbAREAS[LOCALIDADE],RESUMO!A$34)</f>
        <v>2439.4300000000003</v>
      </c>
      <c r="D37" s="28">
        <f ca="1">INDEX(PRODUTIVIDADES!$B$27:$M$42,MATCH(B37,PRODUTIVIDADES!$B$27:$B$42,0),12)</f>
        <v>7.73</v>
      </c>
      <c r="E37" s="28">
        <f t="shared" ref="E37:E46" ca="1" si="4">D37*C37</f>
        <v>18856.793900000004</v>
      </c>
      <c r="F37" s="30">
        <f t="shared" ref="F37:F46" ca="1" si="5">E37*12</f>
        <v>226281.52680000005</v>
      </c>
    </row>
    <row r="38" spans="1:6" ht="15" customHeight="1" x14ac:dyDescent="0.25">
      <c r="A38" s="262"/>
      <c r="B38" s="263" t="s">
        <v>10</v>
      </c>
      <c r="C38" s="28">
        <f>SUMIFS(tbAREAS[ÁREA EM M²],tbAREAS[TIPO DE ÁREA],RESUMO!B38,tbAREAS[LOCALIDADE],RESUMO!A$34)</f>
        <v>2181.3099999999995</v>
      </c>
      <c r="D38" s="28">
        <f ca="1">INDEX(PRODUTIVIDADES!$B$27:$M$42,MATCH(B38,PRODUTIVIDADES!$B$27:$B$42,0),12)</f>
        <v>2.81</v>
      </c>
      <c r="E38" s="28">
        <f t="shared" ca="1" si="4"/>
        <v>6129.4810999999991</v>
      </c>
      <c r="F38" s="30">
        <f t="shared" ca="1" si="5"/>
        <v>73553.773199999996</v>
      </c>
    </row>
    <row r="39" spans="1:6" ht="15" hidden="1" customHeight="1" x14ac:dyDescent="0.25">
      <c r="A39" s="262"/>
      <c r="B39" s="263" t="s">
        <v>11</v>
      </c>
      <c r="C39" s="28">
        <f>SUMIFS(tbAREAS[ÁREA EM M²],tbAREAS[TIPO DE ÁREA],RESUMO!B39,tbAREAS[LOCALIDADE],RESUMO!A$34)</f>
        <v>0</v>
      </c>
      <c r="D39" s="28">
        <f>INDEX(PRODUTIVIDADES!$B$27:$M$42,MATCH(B39,PRODUTIVIDADES!$B$27:$B$42,0),12)</f>
        <v>0</v>
      </c>
      <c r="E39" s="28">
        <f t="shared" si="4"/>
        <v>0</v>
      </c>
      <c r="F39" s="30">
        <f t="shared" si="5"/>
        <v>0</v>
      </c>
    </row>
    <row r="40" spans="1:6" ht="15" hidden="1" customHeight="1" x14ac:dyDescent="0.25">
      <c r="A40" s="262"/>
      <c r="B40" s="263" t="s">
        <v>12</v>
      </c>
      <c r="C40" s="28">
        <f>SUMIFS(tbAREAS[ÁREA EM M²],tbAREAS[TIPO DE ÁREA],RESUMO!B40,tbAREAS[LOCALIDADE],RESUMO!A$34)</f>
        <v>0</v>
      </c>
      <c r="D40" s="28">
        <f>INDEX(PRODUTIVIDADES!$B$27:$M$42,MATCH(B40,PRODUTIVIDADES!$B$27:$B$42,0),12)</f>
        <v>0</v>
      </c>
      <c r="E40" s="28">
        <f t="shared" si="4"/>
        <v>0</v>
      </c>
      <c r="F40" s="30">
        <f t="shared" si="5"/>
        <v>0</v>
      </c>
    </row>
    <row r="41" spans="1:6" ht="15" hidden="1" customHeight="1" x14ac:dyDescent="0.25">
      <c r="A41" s="262"/>
      <c r="B41" s="263" t="s">
        <v>13</v>
      </c>
      <c r="C41" s="28">
        <f>SUMIFS(tbAREAS[ÁREA EM M²],tbAREAS[TIPO DE ÁREA],RESUMO!B41,tbAREAS[LOCALIDADE],RESUMO!A$34)</f>
        <v>0</v>
      </c>
      <c r="D41" s="28">
        <f>INDEX(PRODUTIVIDADES!$B$27:$M$42,MATCH(B41,PRODUTIVIDADES!$B$27:$B$42,0),12)</f>
        <v>0</v>
      </c>
      <c r="E41" s="28">
        <f t="shared" si="4"/>
        <v>0</v>
      </c>
      <c r="F41" s="30">
        <f t="shared" si="5"/>
        <v>0</v>
      </c>
    </row>
    <row r="42" spans="1:6" ht="15" customHeight="1" x14ac:dyDescent="0.25">
      <c r="A42" s="262"/>
      <c r="B42" s="263" t="s">
        <v>14</v>
      </c>
      <c r="C42" s="28">
        <f>SUMIFS(tbAREAS[ÁREA EM M²],tbAREAS[TIPO DE ÁREA],RESUMO!B42,tbAREAS[LOCALIDADE],RESUMO!A$34)</f>
        <v>1431.92</v>
      </c>
      <c r="D42" s="28">
        <f ca="1">INDEX(PRODUTIVIDADES!$B$27:$M$42,MATCH(B42,PRODUTIVIDADES!$B$27:$B$42,0),12)</f>
        <v>7.66</v>
      </c>
      <c r="E42" s="28">
        <f t="shared" ca="1" si="4"/>
        <v>10968.5072</v>
      </c>
      <c r="F42" s="30">
        <f t="shared" ca="1" si="5"/>
        <v>131622.0864</v>
      </c>
    </row>
    <row r="43" spans="1:6" ht="15" customHeight="1" x14ac:dyDescent="0.25">
      <c r="A43" s="262"/>
      <c r="B43" s="263" t="s">
        <v>15</v>
      </c>
      <c r="C43" s="28">
        <f>SUMIFS(tbAREAS[ÁREA EM M²],tbAREAS[TIPO DE ÁREA],RESUMO!B43,tbAREAS[LOCALIDADE],RESUMO!A$34)</f>
        <v>621.42999999999995</v>
      </c>
      <c r="D43" s="28">
        <f ca="1">INDEX(PRODUTIVIDADES!$B$27:$M$42,MATCH(B43,PRODUTIVIDADES!$B$27:$B$42,0),12)</f>
        <v>0.62</v>
      </c>
      <c r="E43" s="28">
        <f t="shared" ca="1" si="4"/>
        <v>385.28659999999996</v>
      </c>
      <c r="F43" s="30">
        <f t="shared" ca="1" si="5"/>
        <v>4623.4391999999998</v>
      </c>
    </row>
    <row r="44" spans="1:6" ht="15" customHeight="1" x14ac:dyDescent="0.25">
      <c r="A44" s="264"/>
      <c r="B44" s="265" t="s">
        <v>16</v>
      </c>
      <c r="C44" s="28">
        <f>SUMIFS(tbAREAS[ÁREA EM M²],tbAREAS[TIPO DE ÁREA],RESUMO!B44,tbAREAS[LOCALIDADE],RESUMO!A$34)</f>
        <v>27</v>
      </c>
      <c r="D44" s="28">
        <f ca="1">INDEX(PRODUTIVIDADES!$B$27:$M$42,MATCH(B44,PRODUTIVIDADES!$B$27:$B$42,0),12)</f>
        <v>0.7</v>
      </c>
      <c r="E44" s="28">
        <f t="shared" ca="1" si="4"/>
        <v>18.899999999999999</v>
      </c>
      <c r="F44" s="30">
        <f t="shared" ca="1" si="5"/>
        <v>226.79999999999998</v>
      </c>
    </row>
    <row r="45" spans="1:6" ht="15" customHeight="1" x14ac:dyDescent="0.25">
      <c r="A45" s="264"/>
      <c r="B45" s="265" t="s">
        <v>17</v>
      </c>
      <c r="C45" s="28">
        <f>SUMIFS(tbAREAS[ÁREA EM M²],tbAREAS[TIPO DE ÁREA],RESUMO!B45,tbAREAS[LOCALIDADE],RESUMO!A$34)</f>
        <v>3414.6399999999994</v>
      </c>
      <c r="D45" s="28">
        <f ca="1">INDEX(PRODUTIVIDADES!$B$27:$M$42,MATCH(B45,PRODUTIVIDADES!$B$27:$B$42,0),12)</f>
        <v>2.1</v>
      </c>
      <c r="E45" s="28">
        <f t="shared" ca="1" si="4"/>
        <v>7170.7439999999988</v>
      </c>
      <c r="F45" s="30">
        <f t="shared" ca="1" si="5"/>
        <v>86048.927999999985</v>
      </c>
    </row>
    <row r="46" spans="1:6" ht="15" customHeight="1" x14ac:dyDescent="0.25">
      <c r="A46" s="264"/>
      <c r="B46" s="265" t="s">
        <v>18</v>
      </c>
      <c r="C46" s="28">
        <f>SUMIFS(tbAREAS[ÁREA EM M²],tbAREAS[TIPO DE ÁREA],RESUMO!B46,tbAREAS[LOCALIDADE],RESUMO!A$34)</f>
        <v>615.54</v>
      </c>
      <c r="D46" s="28">
        <f ca="1">INDEX(PRODUTIVIDADES!$B$27:$M$42,MATCH(B46,PRODUTIVIDADES!$B$27:$B$42,0),12)</f>
        <v>40.85</v>
      </c>
      <c r="E46" s="28">
        <f t="shared" ca="1" si="4"/>
        <v>25144.809000000001</v>
      </c>
      <c r="F46" s="30">
        <f t="shared" ca="1" si="5"/>
        <v>301737.70799999998</v>
      </c>
    </row>
    <row r="47" spans="1:6" ht="15" customHeight="1" x14ac:dyDescent="0.25">
      <c r="A47" s="419" t="s">
        <v>19</v>
      </c>
      <c r="B47" s="420"/>
      <c r="C47" s="420"/>
      <c r="D47" s="420"/>
      <c r="E47" s="420"/>
      <c r="F47" s="421"/>
    </row>
    <row r="48" spans="1:6" ht="15" customHeight="1" x14ac:dyDescent="0.25">
      <c r="A48" s="264"/>
      <c r="B48" s="265" t="s">
        <v>20</v>
      </c>
      <c r="C48" s="28">
        <f>SUMIFS(tbAREAS[ÁREA EM M²],tbAREAS[TIPO DE ÁREA],RESUMO!B48,tbAREAS[LOCALIDADE],RESUMO!A$34)</f>
        <v>3174.0200000000004</v>
      </c>
      <c r="D48" s="28">
        <f ca="1">INDEX(PRODUTIVIDADES!$B$27:$M$42,MATCH(B48,PRODUTIVIDADES!$B$27:$B$42,0),12)</f>
        <v>0.7</v>
      </c>
      <c r="E48" s="28">
        <f ca="1">D48*C48</f>
        <v>2221.8140000000003</v>
      </c>
      <c r="F48" s="30">
        <f ca="1">E48*12</f>
        <v>26661.768000000004</v>
      </c>
    </row>
    <row r="49" spans="1:6" ht="15" customHeight="1" x14ac:dyDescent="0.25">
      <c r="A49" s="419" t="s">
        <v>1103</v>
      </c>
      <c r="B49" s="420"/>
      <c r="C49" s="420"/>
      <c r="D49" s="420"/>
      <c r="E49" s="420"/>
      <c r="F49" s="421"/>
    </row>
    <row r="50" spans="1:6" ht="15" customHeight="1" x14ac:dyDescent="0.25">
      <c r="A50" s="264"/>
      <c r="B50" s="334" t="s">
        <v>21</v>
      </c>
      <c r="C50" s="28">
        <f>SUMIFS(tbAREAS[ÁREA EM M²],tbAREAS[TIPO DE ÁREA],RESUMO!B50,tbAREAS[LOCALIDADE],RESUMO!A$34)</f>
        <v>2079.8099999999995</v>
      </c>
      <c r="D50" s="28">
        <f ca="1">INDEX(PRODUTIVIDADES!$B$27:$M$42,MATCH(B50,PRODUTIVIDADES!$B$27:$B$42,0),12)</f>
        <v>0.17</v>
      </c>
      <c r="E50" s="28">
        <f ca="1">D50*C50</f>
        <v>353.56769999999995</v>
      </c>
      <c r="F50" s="30">
        <f ca="1">E50*12</f>
        <v>4242.8123999999989</v>
      </c>
    </row>
    <row r="51" spans="1:6" ht="15" customHeight="1" x14ac:dyDescent="0.25">
      <c r="A51" s="264"/>
      <c r="B51" s="265" t="s">
        <v>22</v>
      </c>
      <c r="C51" s="28">
        <f>SUMIFS(tbAREAS[ÁREA EM M²],tbAREAS[TIPO DE ÁREA],RESUMO!B51,tbAREAS[LOCALIDADE],RESUMO!A$34)</f>
        <v>2079.8099999999995</v>
      </c>
      <c r="D51" s="28">
        <f ca="1">INDEX(PRODUTIVIDADES!$B$27:$M$42,MATCH(B51,PRODUTIVIDADES!$B$27:$B$42,0),12)</f>
        <v>0.4</v>
      </c>
      <c r="E51" s="28">
        <f ca="1">D51*C51</f>
        <v>831.92399999999986</v>
      </c>
      <c r="F51" s="30">
        <f ca="1">E51*12</f>
        <v>9983.0879999999979</v>
      </c>
    </row>
    <row r="52" spans="1:6" ht="15" hidden="1" customHeight="1" x14ac:dyDescent="0.25">
      <c r="A52" s="264"/>
      <c r="B52" s="265" t="s">
        <v>23</v>
      </c>
      <c r="C52" s="28">
        <f>SUMIFS(tbAREAS[ÁREA EM M²],tbAREAS[TIPO DE ÁREA],RESUMO!B52,tbAREAS[LOCALIDADE],RESUMO!A$34)</f>
        <v>0</v>
      </c>
      <c r="D52" s="28">
        <f>INDEX(PRODUTIVIDADES!$B$27:$M$42,MATCH(B52,PRODUTIVIDADES!$B$27:$B$42,0),12)</f>
        <v>0</v>
      </c>
      <c r="E52" s="28">
        <f>D52*C52</f>
        <v>0</v>
      </c>
      <c r="F52" s="30">
        <f>E52*12</f>
        <v>0</v>
      </c>
    </row>
    <row r="53" spans="1:6" ht="15" customHeight="1" x14ac:dyDescent="0.25">
      <c r="A53" s="419" t="s">
        <v>24</v>
      </c>
      <c r="B53" s="420"/>
      <c r="C53" s="420"/>
      <c r="D53" s="420"/>
      <c r="E53" s="420"/>
      <c r="F53" s="421"/>
    </row>
    <row r="54" spans="1:6" ht="15" hidden="1" customHeight="1" x14ac:dyDescent="0.25">
      <c r="A54" s="264"/>
      <c r="B54" s="265" t="s">
        <v>34</v>
      </c>
      <c r="C54" s="28">
        <f>SUMIFS(tbPOSTOS[QUANTIDADE],tbPOSTOS[IDENTIFICAÇÃO],RESUMO!B54,tbPOSTOS[LOCALIDADE],RESUMO!A$34)</f>
        <v>0</v>
      </c>
      <c r="D54" s="256" cm="1">
        <f t="array" aca="1" ref="D54" ca="1">IF(C54&gt;0,INDEX(INDIRECT(CONCATENATE("'",VLOOKUP(B54,COD_POSTOS,3,0),"'!$1:$162")),MATCH("VALOR TOTAL DO POSTO",INDIRECT(CONCATENATE("'",VLOOKUP(B54,COD_POSTOS,3,0),"'!$A:$A")),0),MATCH("00 - VALOR ESTIMADO",INDIRECT(CONCATENATE("'",VLOOKUP(B54,COD_POSTOS,3,0),"'!$25:$25")),0)+1),0)</f>
        <v>0</v>
      </c>
      <c r="E54" s="28">
        <f t="shared" ref="E54:E59" ca="1" si="6">D54*C54</f>
        <v>0</v>
      </c>
      <c r="F54" s="30">
        <f t="shared" ref="F54:F59" ca="1" si="7">E54*12</f>
        <v>0</v>
      </c>
    </row>
    <row r="55" spans="1:6" ht="15" customHeight="1" x14ac:dyDescent="0.25">
      <c r="A55" s="264"/>
      <c r="B55" s="265" t="s">
        <v>26</v>
      </c>
      <c r="C55" s="28">
        <f>SUMIFS(tbPOSTOS[QUANTIDADE],tbPOSTOS[IDENTIFICAÇÃO],RESUMO!B55,tbPOSTOS[LOCALIDADE],RESUMO!A$34)</f>
        <v>1</v>
      </c>
      <c r="D55" s="256" cm="1">
        <f t="array" aca="1" ref="D55" ca="1">IF(C55&gt;0,INDEX(INDIRECT(CONCATENATE("'",VLOOKUP(B55,COD_POSTOS,3,0),"'!$1:$162")),MATCH("VALOR TOTAL DO POSTO",INDIRECT(CONCATENATE("'",VLOOKUP(B55,COD_POSTOS,3,0),"'!$A:$A")),0),MATCH("00 - VALOR ESTIMADO",INDIRECT(CONCATENATE("'",VLOOKUP(B55,COD_POSTOS,3,0),"'!$25:$25")),0)+1),0)</f>
        <v>5805.53</v>
      </c>
      <c r="E55" s="28">
        <f t="shared" ca="1" si="6"/>
        <v>5805.53</v>
      </c>
      <c r="F55" s="30">
        <f t="shared" ca="1" si="7"/>
        <v>69666.36</v>
      </c>
    </row>
    <row r="56" spans="1:6" ht="15" hidden="1" customHeight="1" x14ac:dyDescent="0.25">
      <c r="A56" s="264"/>
      <c r="B56" s="265" t="s">
        <v>27</v>
      </c>
      <c r="C56" s="28">
        <f>SUMIFS(tbPOSTOS[QUANTIDADE],tbPOSTOS[IDENTIFICAÇÃO],RESUMO!B56,tbPOSTOS[LOCALIDADE],RESUMO!A$34)</f>
        <v>0</v>
      </c>
      <c r="D56" s="256" cm="1">
        <f t="array" aca="1" ref="D56" ca="1">IF(C56&gt;0,INDEX(INDIRECT(CONCATENATE("'",VLOOKUP(B56,COD_POSTOS,3,0),"'!$1:$162")),MATCH("VALOR TOTAL DO POSTO",INDIRECT(CONCATENATE("'",VLOOKUP(B56,COD_POSTOS,3,0),"'!$A:$A")),0),MATCH("00 - VALOR ESTIMADO",INDIRECT(CONCATENATE("'",VLOOKUP(B56,COD_POSTOS,3,0),"'!$25:$25")),0)+1),0)</f>
        <v>0</v>
      </c>
      <c r="E56" s="28">
        <f t="shared" ca="1" si="6"/>
        <v>0</v>
      </c>
      <c r="F56" s="30">
        <f t="shared" ca="1" si="7"/>
        <v>0</v>
      </c>
    </row>
    <row r="57" spans="1:6" ht="15" hidden="1" customHeight="1" x14ac:dyDescent="0.25">
      <c r="A57" s="264"/>
      <c r="B57" s="265" t="s">
        <v>28</v>
      </c>
      <c r="C57" s="28">
        <f>SUMIFS(tbPOSTOS[QUANTIDADE],tbPOSTOS[IDENTIFICAÇÃO],RESUMO!B57,tbPOSTOS[LOCALIDADE],RESUMO!A$34)</f>
        <v>0</v>
      </c>
      <c r="D57" s="256" cm="1">
        <f t="array" aca="1" ref="D57" ca="1">IF(C57&gt;0,INDEX(INDIRECT(CONCATENATE("'",VLOOKUP(B57,COD_POSTOS,3,0),"'!$1:$162")),MATCH("VALOR TOTAL DO POSTO",INDIRECT(CONCATENATE("'",VLOOKUP(B57,COD_POSTOS,3,0),"'!$A:$A")),0),MATCH("00 - VALOR ESTIMADO",INDIRECT(CONCATENATE("'",VLOOKUP(B57,COD_POSTOS,3,0),"'!$25:$25")),0)+1),0)</f>
        <v>0</v>
      </c>
      <c r="E57" s="28">
        <f t="shared" ca="1" si="6"/>
        <v>0</v>
      </c>
      <c r="F57" s="30">
        <f t="shared" ca="1" si="7"/>
        <v>0</v>
      </c>
    </row>
    <row r="58" spans="1:6" ht="15" hidden="1" customHeight="1" x14ac:dyDescent="0.25">
      <c r="A58" s="264"/>
      <c r="B58" s="265" t="s">
        <v>29</v>
      </c>
      <c r="C58" s="28">
        <f>SUMIFS(tbPOSTOS[QUANTIDADE],tbPOSTOS[IDENTIFICAÇÃO],RESUMO!B58,tbPOSTOS[LOCALIDADE],RESUMO!A$34)</f>
        <v>0</v>
      </c>
      <c r="D58" s="256" cm="1">
        <f t="array" aca="1" ref="D58" ca="1">IF(C58&gt;0,INDEX(INDIRECT(CONCATENATE("'",VLOOKUP(B58,COD_POSTOS,3,0),"'!$1:$162")),MATCH("VALOR TOTAL DO POSTO",INDIRECT(CONCATENATE("'",VLOOKUP(B58,COD_POSTOS,3,0),"'!$A:$A")),0),MATCH("00 - VALOR ESTIMADO",INDIRECT(CONCATENATE("'",VLOOKUP(B58,COD_POSTOS,3,0),"'!$25:$25")),0)+1),0)</f>
        <v>0</v>
      </c>
      <c r="E58" s="28">
        <f t="shared" ca="1" si="6"/>
        <v>0</v>
      </c>
      <c r="F58" s="30">
        <f t="shared" ca="1" si="7"/>
        <v>0</v>
      </c>
    </row>
    <row r="59" spans="1:6" ht="15" hidden="1" customHeight="1" x14ac:dyDescent="0.25">
      <c r="A59" s="264"/>
      <c r="B59" s="265" t="s">
        <v>30</v>
      </c>
      <c r="C59" s="28">
        <f>SUMIFS(tbPOSTOS[QUANTIDADE],tbPOSTOS[IDENTIFICAÇÃO],RESUMO!B59,tbPOSTOS[LOCALIDADE],RESUMO!A$34)</f>
        <v>0</v>
      </c>
      <c r="D59" s="256" cm="1">
        <f t="array" aca="1" ref="D59" ca="1">IF(C59&gt;0,INDEX(INDIRECT(CONCATENATE("'",VLOOKUP(B59,COD_POSTOS,3,0),"'!$1:$162")),MATCH("VALOR TOTAL DO POSTO",INDIRECT(CONCATENATE("'",VLOOKUP(B59,COD_POSTOS,3,0),"'!$A:$A")),0),MATCH("00 - VALOR ESTIMADO",INDIRECT(CONCATENATE("'",VLOOKUP(B59,COD_POSTOS,3,0),"'!$25:$25")),0)+1),0)</f>
        <v>0</v>
      </c>
      <c r="E59" s="28">
        <f t="shared" ca="1" si="6"/>
        <v>0</v>
      </c>
      <c r="F59" s="30">
        <f t="shared" ca="1" si="7"/>
        <v>0</v>
      </c>
    </row>
    <row r="60" spans="1:6" ht="15" customHeight="1" x14ac:dyDescent="0.25">
      <c r="A60" s="411" t="s">
        <v>31</v>
      </c>
      <c r="B60" s="412"/>
      <c r="C60" s="235">
        <f>SUM(C50:C52,C48,C37:C46)</f>
        <v>18064.91</v>
      </c>
      <c r="D60" s="235">
        <f ca="1">SUMPRODUCT(C36:C43,D36:D43)</f>
        <v>36340.068800000001</v>
      </c>
      <c r="E60" s="235">
        <f ca="1">SUM(E37:E46,E48,E50:E52)</f>
        <v>72081.827499999999</v>
      </c>
      <c r="F60" s="236">
        <f ca="1">SUM(F37:F46,F48,F50:F52)</f>
        <v>864981.93000000017</v>
      </c>
    </row>
    <row r="61" spans="1:6" ht="15" customHeight="1" thickBot="1" x14ac:dyDescent="0.3">
      <c r="A61" s="413" t="s">
        <v>32</v>
      </c>
      <c r="B61" s="414"/>
      <c r="C61" s="31">
        <f>SUM(C54:C59)</f>
        <v>1</v>
      </c>
      <c r="D61" s="31"/>
      <c r="E61" s="31">
        <f ca="1">SUM(E54:E59)</f>
        <v>5805.53</v>
      </c>
      <c r="F61" s="32">
        <f ca="1">SUM(F54:F59)</f>
        <v>69666.36</v>
      </c>
    </row>
    <row r="62" spans="1:6" ht="15" customHeight="1" thickBot="1" x14ac:dyDescent="0.3"/>
    <row r="63" spans="1:6" ht="15" customHeight="1" x14ac:dyDescent="0.25">
      <c r="A63" s="408" t="s">
        <v>35</v>
      </c>
      <c r="B63" s="409"/>
      <c r="C63" s="409"/>
      <c r="D63" s="409"/>
      <c r="E63" s="409"/>
      <c r="F63" s="410"/>
    </row>
    <row r="64" spans="1:6" ht="15" customHeight="1" x14ac:dyDescent="0.25">
      <c r="A64" s="417" t="s">
        <v>3</v>
      </c>
      <c r="B64" s="418"/>
      <c r="C64" s="27" t="s">
        <v>4</v>
      </c>
      <c r="D64" s="27" t="s">
        <v>5</v>
      </c>
      <c r="E64" s="27" t="s">
        <v>6</v>
      </c>
      <c r="F64" s="29" t="s">
        <v>7</v>
      </c>
    </row>
    <row r="65" spans="1:6" ht="15" customHeight="1" x14ac:dyDescent="0.25">
      <c r="A65" s="419" t="s">
        <v>8</v>
      </c>
      <c r="B65" s="420"/>
      <c r="C65" s="420"/>
      <c r="D65" s="420"/>
      <c r="E65" s="420"/>
      <c r="F65" s="421"/>
    </row>
    <row r="66" spans="1:6" ht="15" customHeight="1" x14ac:dyDescent="0.25">
      <c r="A66" s="262"/>
      <c r="B66" s="263" t="s">
        <v>9</v>
      </c>
      <c r="C66" s="28">
        <f>SUMIFS(tbAREAS[ÁREA EM M²],tbAREAS[TIPO DE ÁREA],RESUMO!B66,tbAREAS[LOCALIDADE],RESUMO!A$63)</f>
        <v>2030.05</v>
      </c>
      <c r="D66" s="28">
        <f ca="1">INDEX(PRODUTIVIDADES!$B$49:$M$64,MATCH(B66,PRODUTIVIDADES!$B$49:$B$64,0),12)</f>
        <v>7.46</v>
      </c>
      <c r="E66" s="28">
        <f ca="1">D66*C66</f>
        <v>15144.172999999999</v>
      </c>
      <c r="F66" s="30">
        <f ca="1">E66*12</f>
        <v>181730.076</v>
      </c>
    </row>
    <row r="67" spans="1:6" ht="15" customHeight="1" x14ac:dyDescent="0.25">
      <c r="A67" s="262"/>
      <c r="B67" s="263" t="s">
        <v>10</v>
      </c>
      <c r="C67" s="28">
        <f>SUMIFS(tbAREAS[ÁREA EM M²],tbAREAS[TIPO DE ÁREA],RESUMO!B67,tbAREAS[LOCALIDADE],RESUMO!A$63)</f>
        <v>3020.1499999999996</v>
      </c>
      <c r="D67" s="28">
        <f ca="1">INDEX(PRODUTIVIDADES!$B$49:$M$64,MATCH(B67,PRODUTIVIDADES!$B$49:$B$64,0),12)</f>
        <v>2.71</v>
      </c>
      <c r="E67" s="28">
        <f t="shared" ref="E67:E73" ca="1" si="8">D67*C67</f>
        <v>8184.606499999999</v>
      </c>
      <c r="F67" s="30">
        <f t="shared" ref="F67:F68" ca="1" si="9">E67*12</f>
        <v>98215.277999999991</v>
      </c>
    </row>
    <row r="68" spans="1:6" ht="15" hidden="1" customHeight="1" x14ac:dyDescent="0.25">
      <c r="A68" s="262"/>
      <c r="B68" s="263" t="s">
        <v>11</v>
      </c>
      <c r="C68" s="28">
        <f>SUMIFS(tbAREAS[ÁREA EM M²],tbAREAS[TIPO DE ÁREA],RESUMO!B68,tbAREAS[LOCALIDADE],RESUMO!A$63)</f>
        <v>0</v>
      </c>
      <c r="D68" s="28">
        <f>INDEX(PRODUTIVIDADES!$B$49:$M$64,MATCH(B68,PRODUTIVIDADES!$B$49:$B$64,0),12)</f>
        <v>0</v>
      </c>
      <c r="E68" s="28">
        <f t="shared" si="8"/>
        <v>0</v>
      </c>
      <c r="F68" s="30">
        <f t="shared" si="9"/>
        <v>0</v>
      </c>
    </row>
    <row r="69" spans="1:6" ht="15" hidden="1" customHeight="1" x14ac:dyDescent="0.25">
      <c r="A69" s="262"/>
      <c r="B69" s="263" t="s">
        <v>12</v>
      </c>
      <c r="C69" s="28">
        <f>SUMIFS(tbAREAS[ÁREA EM M²],tbAREAS[TIPO DE ÁREA],RESUMO!B69,tbAREAS[LOCALIDADE],RESUMO!A$63)</f>
        <v>0</v>
      </c>
      <c r="D69" s="28">
        <f>INDEX(PRODUTIVIDADES!$B$49:$M$64,MATCH(B69,PRODUTIVIDADES!$B$49:$B$64,0),12)</f>
        <v>0</v>
      </c>
      <c r="E69" s="28">
        <f t="shared" si="8"/>
        <v>0</v>
      </c>
      <c r="F69" s="30">
        <f>E69*12</f>
        <v>0</v>
      </c>
    </row>
    <row r="70" spans="1:6" ht="15" hidden="1" customHeight="1" x14ac:dyDescent="0.25">
      <c r="A70" s="262"/>
      <c r="B70" s="263" t="s">
        <v>13</v>
      </c>
      <c r="C70" s="28">
        <f>SUMIFS(tbAREAS[ÁREA EM M²],tbAREAS[TIPO DE ÁREA],RESUMO!B70,tbAREAS[LOCALIDADE],RESUMO!A$63)</f>
        <v>0</v>
      </c>
      <c r="D70" s="28">
        <f>INDEX(PRODUTIVIDADES!$B$49:$M$64,MATCH(B70,PRODUTIVIDADES!$B$49:$B$64,0),12)</f>
        <v>0</v>
      </c>
      <c r="E70" s="28">
        <f t="shared" si="8"/>
        <v>0</v>
      </c>
      <c r="F70" s="30">
        <f>E70*12</f>
        <v>0</v>
      </c>
    </row>
    <row r="71" spans="1:6" ht="15" customHeight="1" x14ac:dyDescent="0.25">
      <c r="A71" s="262"/>
      <c r="B71" s="263" t="s">
        <v>14</v>
      </c>
      <c r="C71" s="28">
        <f>SUMIFS(tbAREAS[ÁREA EM M²],tbAREAS[TIPO DE ÁREA],RESUMO!B71,tbAREAS[LOCALIDADE],RESUMO!A$63)</f>
        <v>2434.0300000000002</v>
      </c>
      <c r="D71" s="28">
        <f ca="1">INDEX(PRODUTIVIDADES!$B$49:$M$64,MATCH(B71,PRODUTIVIDADES!$B$49:$B$64,0),12)</f>
        <v>7.39</v>
      </c>
      <c r="E71" s="28">
        <f t="shared" ca="1" si="8"/>
        <v>17987.4817</v>
      </c>
      <c r="F71" s="30">
        <f t="shared" ref="F71:F73" ca="1" si="10">E71*12</f>
        <v>215849.78039999999</v>
      </c>
    </row>
    <row r="72" spans="1:6" ht="15" customHeight="1" x14ac:dyDescent="0.25">
      <c r="A72" s="262"/>
      <c r="B72" s="263" t="s">
        <v>15</v>
      </c>
      <c r="C72" s="28">
        <f>SUMIFS(tbAREAS[ÁREA EM M²],tbAREAS[TIPO DE ÁREA],RESUMO!B72,tbAREAS[LOCALIDADE],RESUMO!A$63)</f>
        <v>732.73</v>
      </c>
      <c r="D72" s="28">
        <f ca="1">INDEX(PRODUTIVIDADES!$B$49:$M$64,MATCH(B72,PRODUTIVIDADES!$B$49:$B$64,0),12)</f>
        <v>0.6</v>
      </c>
      <c r="E72" s="28">
        <f t="shared" ca="1" si="8"/>
        <v>439.63799999999998</v>
      </c>
      <c r="F72" s="30">
        <f t="shared" ca="1" si="10"/>
        <v>5275.6559999999999</v>
      </c>
    </row>
    <row r="73" spans="1:6" ht="15" customHeight="1" x14ac:dyDescent="0.25">
      <c r="A73" s="264"/>
      <c r="B73" s="265" t="s">
        <v>16</v>
      </c>
      <c r="C73" s="28">
        <f>SUMIFS(tbAREAS[ÁREA EM M²],tbAREAS[TIPO DE ÁREA],RESUMO!B73,tbAREAS[LOCALIDADE],RESUMO!A$63)</f>
        <v>376.74</v>
      </c>
      <c r="D73" s="28">
        <f ca="1">INDEX(PRODUTIVIDADES!$B$49:$M$64,MATCH(B73,PRODUTIVIDADES!$B$49:$B$64,0),12)</f>
        <v>0.67</v>
      </c>
      <c r="E73" s="28">
        <f t="shared" ca="1" si="8"/>
        <v>252.41580000000002</v>
      </c>
      <c r="F73" s="30">
        <f t="shared" ca="1" si="10"/>
        <v>3028.9896000000003</v>
      </c>
    </row>
    <row r="74" spans="1:6" ht="15" customHeight="1" x14ac:dyDescent="0.25">
      <c r="A74" s="264"/>
      <c r="B74" s="265" t="s">
        <v>17</v>
      </c>
      <c r="C74" s="28">
        <f>SUMIFS(tbAREAS[ÁREA EM M²],tbAREAS[TIPO DE ÁREA],RESUMO!B74,tbAREAS[LOCALIDADE],RESUMO!A$63)</f>
        <v>2973.0499999999993</v>
      </c>
      <c r="D74" s="28">
        <f ca="1">INDEX(PRODUTIVIDADES!$B$49:$M$64,MATCH(B74,PRODUTIVIDADES!$B$49:$B$64,0),12)</f>
        <v>2.0299999999999998</v>
      </c>
      <c r="E74" s="28">
        <f t="shared" ref="E74:E75" ca="1" si="11">D74*C74</f>
        <v>6035.2914999999975</v>
      </c>
      <c r="F74" s="30">
        <f t="shared" ref="F74:F75" ca="1" si="12">E74*12</f>
        <v>72423.497999999963</v>
      </c>
    </row>
    <row r="75" spans="1:6" ht="15" customHeight="1" x14ac:dyDescent="0.25">
      <c r="A75" s="264"/>
      <c r="B75" s="265" t="s">
        <v>18</v>
      </c>
      <c r="C75" s="28">
        <f>SUMIFS(tbAREAS[ÁREA EM M²],tbAREAS[TIPO DE ÁREA],RESUMO!B75,tbAREAS[LOCALIDADE],RESUMO!A$63)</f>
        <v>412.83000000000004</v>
      </c>
      <c r="D75" s="28">
        <f ca="1">INDEX(PRODUTIVIDADES!$B$49:$M$64,MATCH(B75,PRODUTIVIDADES!$B$49:$B$64,0),12)</f>
        <v>39.590000000000003</v>
      </c>
      <c r="E75" s="28">
        <f t="shared" ca="1" si="11"/>
        <v>16343.939700000003</v>
      </c>
      <c r="F75" s="30">
        <f t="shared" ca="1" si="12"/>
        <v>196127.27640000003</v>
      </c>
    </row>
    <row r="76" spans="1:6" ht="15" customHeight="1" x14ac:dyDescent="0.25">
      <c r="A76" s="419" t="s">
        <v>19</v>
      </c>
      <c r="B76" s="420"/>
      <c r="C76" s="420"/>
      <c r="D76" s="420"/>
      <c r="E76" s="420"/>
      <c r="F76" s="421"/>
    </row>
    <row r="77" spans="1:6" ht="15" customHeight="1" x14ac:dyDescent="0.25">
      <c r="A77" s="264"/>
      <c r="B77" s="265" t="s">
        <v>20</v>
      </c>
      <c r="C77" s="28">
        <f>SUMIFS(tbAREAS[ÁREA EM M²],tbAREAS[TIPO DE ÁREA],RESUMO!B77,tbAREAS[LOCALIDADE],RESUMO!A$63)</f>
        <v>19.13</v>
      </c>
      <c r="D77" s="28">
        <f ca="1">INDEX(PRODUTIVIDADES!$B$49:$M$64,MATCH(B77,PRODUTIVIDADES!$B$49:$B$64,0),12)</f>
        <v>0.67</v>
      </c>
      <c r="E77" s="28">
        <f ca="1">D77*C77</f>
        <v>12.8171</v>
      </c>
      <c r="F77" s="30">
        <f ca="1">E77*12</f>
        <v>153.80520000000001</v>
      </c>
    </row>
    <row r="78" spans="1:6" ht="15" customHeight="1" x14ac:dyDescent="0.25">
      <c r="A78" s="419" t="s">
        <v>1103</v>
      </c>
      <c r="B78" s="420"/>
      <c r="C78" s="420"/>
      <c r="D78" s="420"/>
      <c r="E78" s="420"/>
      <c r="F78" s="421"/>
    </row>
    <row r="79" spans="1:6" ht="15" customHeight="1" x14ac:dyDescent="0.25">
      <c r="A79" s="264"/>
      <c r="B79" s="265" t="s">
        <v>21</v>
      </c>
      <c r="C79" s="28">
        <f>SUMIFS(tbAREAS[ÁREA EM M²],tbAREAS[TIPO DE ÁREA],RESUMO!B79,tbAREAS[LOCALIDADE],RESUMO!A$63)</f>
        <v>2190.6300000000006</v>
      </c>
      <c r="D79" s="28">
        <f ca="1">INDEX(PRODUTIVIDADES!$B$49:$M$64,MATCH(B79,PRODUTIVIDADES!$B$49:$B$64,0),12)</f>
        <v>0.17</v>
      </c>
      <c r="E79" s="28">
        <f ca="1">D79*C79</f>
        <v>372.40710000000013</v>
      </c>
      <c r="F79" s="30">
        <f ca="1">E79*12</f>
        <v>4468.8852000000015</v>
      </c>
    </row>
    <row r="80" spans="1:6" ht="15" customHeight="1" x14ac:dyDescent="0.25">
      <c r="A80" s="264"/>
      <c r="B80" s="265" t="s">
        <v>22</v>
      </c>
      <c r="C80" s="28">
        <f>SUMIFS(tbAREAS[ÁREA EM M²],tbAREAS[TIPO DE ÁREA],RESUMO!B80,tbAREAS[LOCALIDADE],RESUMO!A$63)</f>
        <v>2190.6300000000006</v>
      </c>
      <c r="D80" s="28">
        <f ca="1">INDEX(PRODUTIVIDADES!$B$49:$M$64,MATCH(B80,PRODUTIVIDADES!$B$49:$B$64,0),12)</f>
        <v>0.4</v>
      </c>
      <c r="E80" s="28">
        <f ca="1">D80*C80</f>
        <v>876.25200000000029</v>
      </c>
      <c r="F80" s="30">
        <f ca="1">E80*12</f>
        <v>10515.024000000003</v>
      </c>
    </row>
    <row r="81" spans="1:6" ht="15" hidden="1" customHeight="1" x14ac:dyDescent="0.25">
      <c r="A81" s="264"/>
      <c r="B81" s="265" t="s">
        <v>23</v>
      </c>
      <c r="C81" s="28">
        <f>SUMIFS(tbAREAS[ÁREA EM M²],tbAREAS[TIPO DE ÁREA],RESUMO!B81,tbAREAS[LOCALIDADE],RESUMO!A$63)</f>
        <v>0</v>
      </c>
      <c r="D81" s="28">
        <f>INDEX(PRODUTIVIDADES!$B$49:$M$64,MATCH(B81,PRODUTIVIDADES!$B$49:$B$64,0),12)</f>
        <v>0</v>
      </c>
      <c r="E81" s="28">
        <f>D81*C81</f>
        <v>0</v>
      </c>
      <c r="F81" s="30">
        <f>E81*12</f>
        <v>0</v>
      </c>
    </row>
    <row r="82" spans="1:6" ht="15" hidden="1" customHeight="1" x14ac:dyDescent="0.25">
      <c r="A82" s="419" t="s">
        <v>24</v>
      </c>
      <c r="B82" s="420"/>
      <c r="C82" s="420"/>
      <c r="D82" s="420"/>
      <c r="E82" s="420"/>
      <c r="F82" s="421"/>
    </row>
    <row r="83" spans="1:6" ht="15" hidden="1" customHeight="1" x14ac:dyDescent="0.25">
      <c r="A83" s="264"/>
      <c r="B83" s="265" t="s">
        <v>34</v>
      </c>
      <c r="C83" s="28">
        <f>SUMIFS(tbPOSTOS[QUANTIDADE],tbPOSTOS[IDENTIFICAÇÃO],RESUMO!B83,tbPOSTOS[LOCALIDADE],RESUMO!A$63)</f>
        <v>0</v>
      </c>
      <c r="D83" s="256" cm="1">
        <f t="array" aca="1" ref="D83" ca="1">IF(C83&gt;0,INDEX(INDIRECT(CONCATENATE("'",VLOOKUP(B83,COD_POSTOS,4,0),"'!$1:$162")),MATCH("VALOR TOTAL DO POSTO",INDIRECT(CONCATENATE("'",VLOOKUP(B83,COD_POSTOS,4,0),"'!$A:$A")),0),MATCH("00 - VALOR ESTIMADO",INDIRECT(CONCATENATE("'",VLOOKUP(B83,COD_POSTOS,4,0),"'!$25:$25")),0)+1),0)</f>
        <v>0</v>
      </c>
      <c r="E83" s="28">
        <f t="shared" ref="E83:E88" ca="1" si="13">D83*C83</f>
        <v>0</v>
      </c>
      <c r="F83" s="30">
        <f t="shared" ref="F83:F88" ca="1" si="14">E83*12</f>
        <v>0</v>
      </c>
    </row>
    <row r="84" spans="1:6" ht="15" hidden="1" customHeight="1" x14ac:dyDescent="0.25">
      <c r="A84" s="264"/>
      <c r="B84" s="265" t="s">
        <v>26</v>
      </c>
      <c r="C84" s="28">
        <f>SUMIFS(tbPOSTOS[QUANTIDADE],tbPOSTOS[IDENTIFICAÇÃO],RESUMO!B84,tbPOSTOS[LOCALIDADE],RESUMO!A$63)</f>
        <v>0</v>
      </c>
      <c r="D84" s="256" cm="1">
        <f t="array" aca="1" ref="D84" ca="1">IF(C84&gt;0,INDEX(INDIRECT(CONCATENATE("'",VLOOKUP(B84,COD_POSTOS,4,0),"'!$1:$162")),MATCH("VALOR TOTAL DO POSTO",INDIRECT(CONCATENATE("'",VLOOKUP(B84,COD_POSTOS,4,0),"'!$A:$A")),0),MATCH("00 - VALOR ESTIMADO",INDIRECT(CONCATENATE("'",VLOOKUP(B84,COD_POSTOS,4,0),"'!$25:$25")),0)+1),0)</f>
        <v>0</v>
      </c>
      <c r="E84" s="28">
        <f t="shared" ca="1" si="13"/>
        <v>0</v>
      </c>
      <c r="F84" s="30">
        <f t="shared" ca="1" si="14"/>
        <v>0</v>
      </c>
    </row>
    <row r="85" spans="1:6" ht="15" hidden="1" customHeight="1" x14ac:dyDescent="0.25">
      <c r="A85" s="264"/>
      <c r="B85" s="265" t="s">
        <v>27</v>
      </c>
      <c r="C85" s="28">
        <f>SUMIFS(tbPOSTOS[QUANTIDADE],tbPOSTOS[IDENTIFICAÇÃO],RESUMO!B85,tbPOSTOS[LOCALIDADE],RESUMO!A$63)</f>
        <v>0</v>
      </c>
      <c r="D85" s="256" cm="1">
        <f t="array" aca="1" ref="D85" ca="1">IF(C85&gt;0,INDEX(INDIRECT(CONCATENATE("'",VLOOKUP(B85,COD_POSTOS,4,0),"'!$1:$162")),MATCH("VALOR TOTAL DO POSTO",INDIRECT(CONCATENATE("'",VLOOKUP(B85,COD_POSTOS,4,0),"'!$A:$A")),0),MATCH("00 - VALOR ESTIMADO",INDIRECT(CONCATENATE("'",VLOOKUP(B85,COD_POSTOS,4,0),"'!$25:$25")),0)+1),0)</f>
        <v>0</v>
      </c>
      <c r="E85" s="28">
        <f t="shared" ca="1" si="13"/>
        <v>0</v>
      </c>
      <c r="F85" s="30">
        <f t="shared" ca="1" si="14"/>
        <v>0</v>
      </c>
    </row>
    <row r="86" spans="1:6" ht="15" hidden="1" customHeight="1" x14ac:dyDescent="0.25">
      <c r="A86" s="264"/>
      <c r="B86" s="265" t="s">
        <v>28</v>
      </c>
      <c r="C86" s="28">
        <f>SUMIFS(tbPOSTOS[QUANTIDADE],tbPOSTOS[IDENTIFICAÇÃO],RESUMO!B86,tbPOSTOS[LOCALIDADE],RESUMO!A$63)</f>
        <v>0</v>
      </c>
      <c r="D86" s="256" cm="1">
        <f t="array" aca="1" ref="D86" ca="1">IF(C86&gt;0,INDEX(INDIRECT(CONCATENATE("'",VLOOKUP(B86,COD_POSTOS,4,0),"'!$1:$162")),MATCH("VALOR TOTAL DO POSTO",INDIRECT(CONCATENATE("'",VLOOKUP(B86,COD_POSTOS,4,0),"'!$A:$A")),0),MATCH("00 - VALOR ESTIMADO",INDIRECT(CONCATENATE("'",VLOOKUP(B86,COD_POSTOS,4,0),"'!$25:$25")),0)+1),0)</f>
        <v>0</v>
      </c>
      <c r="E86" s="28">
        <f t="shared" ca="1" si="13"/>
        <v>0</v>
      </c>
      <c r="F86" s="30">
        <f t="shared" ca="1" si="14"/>
        <v>0</v>
      </c>
    </row>
    <row r="87" spans="1:6" ht="15" hidden="1" customHeight="1" x14ac:dyDescent="0.25">
      <c r="A87" s="264"/>
      <c r="B87" s="265" t="s">
        <v>29</v>
      </c>
      <c r="C87" s="28">
        <f>SUMIFS(tbPOSTOS[QUANTIDADE],tbPOSTOS[IDENTIFICAÇÃO],RESUMO!B87,tbPOSTOS[LOCALIDADE],RESUMO!A$63)</f>
        <v>0</v>
      </c>
      <c r="D87" s="256" cm="1">
        <f t="array" aca="1" ref="D87" ca="1">IF(C87&gt;0,INDEX(INDIRECT(CONCATENATE("'",VLOOKUP(B87,COD_POSTOS,4,0),"'!$1:$162")),MATCH("VALOR TOTAL DO POSTO",INDIRECT(CONCATENATE("'",VLOOKUP(B87,COD_POSTOS,4,0),"'!$A:$A")),0),MATCH("00 - VALOR ESTIMADO",INDIRECT(CONCATENATE("'",VLOOKUP(B87,COD_POSTOS,4,0),"'!$25:$25")),0)+1),0)</f>
        <v>0</v>
      </c>
      <c r="E87" s="28">
        <f t="shared" ca="1" si="13"/>
        <v>0</v>
      </c>
      <c r="F87" s="30">
        <f t="shared" ca="1" si="14"/>
        <v>0</v>
      </c>
    </row>
    <row r="88" spans="1:6" ht="15" hidden="1" customHeight="1" x14ac:dyDescent="0.25">
      <c r="A88" s="264"/>
      <c r="B88" s="265" t="s">
        <v>30</v>
      </c>
      <c r="C88" s="28">
        <f>SUMIFS(tbPOSTOS[QUANTIDADE],tbPOSTOS[IDENTIFICAÇÃO],RESUMO!B88,tbPOSTOS[LOCALIDADE],RESUMO!A$63)</f>
        <v>0</v>
      </c>
      <c r="D88" s="256" cm="1">
        <f t="array" aca="1" ref="D88" ca="1">IF(C88&gt;0,INDEX(INDIRECT(CONCATENATE("'",VLOOKUP(B88,COD_POSTOS,4,0),"'!$1:$162")),MATCH("VALOR TOTAL DO POSTO",INDIRECT(CONCATENATE("'",VLOOKUP(B88,COD_POSTOS,4,0),"'!$A:$A")),0),MATCH("00 - VALOR ESTIMADO",INDIRECT(CONCATENATE("'",VLOOKUP(B88,COD_POSTOS,4,0),"'!$25:$25")),0)+1),0)</f>
        <v>0</v>
      </c>
      <c r="E88" s="28">
        <f t="shared" ca="1" si="13"/>
        <v>0</v>
      </c>
      <c r="F88" s="30">
        <f t="shared" ca="1" si="14"/>
        <v>0</v>
      </c>
    </row>
    <row r="89" spans="1:6" ht="15" customHeight="1" x14ac:dyDescent="0.25">
      <c r="A89" s="411" t="s">
        <v>31</v>
      </c>
      <c r="B89" s="412"/>
      <c r="C89" s="235">
        <f>SUM(C79:C81,C77,C66:C75)</f>
        <v>16379.97</v>
      </c>
      <c r="D89" s="235">
        <f ca="1">SUMPRODUCT(C65:C72,D65:D72)</f>
        <v>41755.899199999993</v>
      </c>
      <c r="E89" s="235">
        <f ca="1">SUM(E66:E75,E77,E79:E81)</f>
        <v>65649.022399999987</v>
      </c>
      <c r="F89" s="236">
        <f ca="1">SUM(F66:F75,F77,F79:F81)</f>
        <v>787788.26879999996</v>
      </c>
    </row>
    <row r="90" spans="1:6" ht="15" customHeight="1" thickBot="1" x14ac:dyDescent="0.3">
      <c r="A90" s="413" t="s">
        <v>32</v>
      </c>
      <c r="B90" s="414"/>
      <c r="C90" s="31">
        <f>SUM(C83:C88)</f>
        <v>0</v>
      </c>
      <c r="D90" s="31"/>
      <c r="E90" s="31">
        <f ca="1">SUM(E83:E88)</f>
        <v>0</v>
      </c>
      <c r="F90" s="32">
        <f ca="1">SUM(F83:F88)</f>
        <v>0</v>
      </c>
    </row>
    <row r="91" spans="1:6" ht="15" customHeight="1" thickBot="1" x14ac:dyDescent="0.3"/>
    <row r="92" spans="1:6" ht="15" customHeight="1" x14ac:dyDescent="0.25">
      <c r="A92" s="408" t="s">
        <v>36</v>
      </c>
      <c r="B92" s="409"/>
      <c r="C92" s="409"/>
      <c r="D92" s="409"/>
      <c r="E92" s="409"/>
      <c r="F92" s="410"/>
    </row>
    <row r="93" spans="1:6" ht="15" customHeight="1" x14ac:dyDescent="0.25">
      <c r="A93" s="417" t="s">
        <v>3</v>
      </c>
      <c r="B93" s="418"/>
      <c r="C93" s="27" t="s">
        <v>4</v>
      </c>
      <c r="D93" s="27" t="s">
        <v>5</v>
      </c>
      <c r="E93" s="27" t="s">
        <v>6</v>
      </c>
      <c r="F93" s="29" t="s">
        <v>7</v>
      </c>
    </row>
    <row r="94" spans="1:6" ht="15" customHeight="1" x14ac:dyDescent="0.25">
      <c r="A94" s="419" t="s">
        <v>8</v>
      </c>
      <c r="B94" s="420"/>
      <c r="C94" s="420"/>
      <c r="D94" s="420"/>
      <c r="E94" s="420"/>
      <c r="F94" s="421"/>
    </row>
    <row r="95" spans="1:6" ht="15" customHeight="1" x14ac:dyDescent="0.25">
      <c r="A95" s="262"/>
      <c r="B95" s="263" t="s">
        <v>9</v>
      </c>
      <c r="C95" s="28">
        <f>SUMIFS(tbAREAS[ÁREA EM M²],tbAREAS[TIPO DE ÁREA],RESUMO!B95,tbAREAS[LOCALIDADE],RESUMO!A$92)</f>
        <v>2774.25</v>
      </c>
      <c r="D95" s="28">
        <f ca="1">INDEX(PRODUTIVIDADES!$B$70:$M$85,MATCH(B95,PRODUTIVIDADES!$B$70:$B$85,0),12)</f>
        <v>7.56</v>
      </c>
      <c r="E95" s="28">
        <f ca="1">D95*C95</f>
        <v>20973.329999999998</v>
      </c>
      <c r="F95" s="30">
        <f ca="1">E95*12</f>
        <v>251679.95999999996</v>
      </c>
    </row>
    <row r="96" spans="1:6" ht="15" customHeight="1" x14ac:dyDescent="0.25">
      <c r="A96" s="262"/>
      <c r="B96" s="263" t="s">
        <v>10</v>
      </c>
      <c r="C96" s="28">
        <f>SUMIFS(tbAREAS[ÁREA EM M²],tbAREAS[TIPO DE ÁREA],RESUMO!B96,tbAREAS[LOCALIDADE],RESUMO!A$92)</f>
        <v>2343.7400000000002</v>
      </c>
      <c r="D96" s="28">
        <f ca="1">INDEX(PRODUTIVIDADES!$B$70:$M$85,MATCH(B96,PRODUTIVIDADES!$B$70:$B$85,0),12)</f>
        <v>2.75</v>
      </c>
      <c r="E96" s="28">
        <f t="shared" ref="E96:E102" ca="1" si="15">D96*C96</f>
        <v>6445.2850000000008</v>
      </c>
      <c r="F96" s="30">
        <f t="shared" ref="F96:F97" ca="1" si="16">E96*12</f>
        <v>77343.420000000013</v>
      </c>
    </row>
    <row r="97" spans="1:6" ht="15" hidden="1" customHeight="1" x14ac:dyDescent="0.25">
      <c r="A97" s="262"/>
      <c r="B97" s="263" t="s">
        <v>11</v>
      </c>
      <c r="C97" s="28">
        <f>SUMIFS(tbAREAS[ÁREA EM M²],tbAREAS[TIPO DE ÁREA],RESUMO!B97,tbAREAS[LOCALIDADE],RESUMO!A$92)</f>
        <v>0</v>
      </c>
      <c r="D97" s="28">
        <f>INDEX(PRODUTIVIDADES!$B$70:$M$85,MATCH(B97,PRODUTIVIDADES!$B$70:$B$85,0),12)</f>
        <v>0</v>
      </c>
      <c r="E97" s="28">
        <f t="shared" si="15"/>
        <v>0</v>
      </c>
      <c r="F97" s="30">
        <f t="shared" si="16"/>
        <v>0</v>
      </c>
    </row>
    <row r="98" spans="1:6" ht="15" hidden="1" customHeight="1" x14ac:dyDescent="0.25">
      <c r="A98" s="262"/>
      <c r="B98" s="263" t="s">
        <v>12</v>
      </c>
      <c r="C98" s="28">
        <f>SUMIFS(tbAREAS[ÁREA EM M²],tbAREAS[TIPO DE ÁREA],RESUMO!B98,tbAREAS[LOCALIDADE],RESUMO!A$92)</f>
        <v>0</v>
      </c>
      <c r="D98" s="28">
        <f>INDEX(PRODUTIVIDADES!$B$70:$M$85,MATCH(B98,PRODUTIVIDADES!$B$70:$B$85,0),12)</f>
        <v>0</v>
      </c>
      <c r="E98" s="28">
        <f t="shared" si="15"/>
        <v>0</v>
      </c>
      <c r="F98" s="30">
        <f>E98*12</f>
        <v>0</v>
      </c>
    </row>
    <row r="99" spans="1:6" ht="15" customHeight="1" x14ac:dyDescent="0.25">
      <c r="A99" s="262"/>
      <c r="B99" s="263" t="s">
        <v>13</v>
      </c>
      <c r="C99" s="28">
        <f>SUMIFS(tbAREAS[ÁREA EM M²],tbAREAS[TIPO DE ÁREA],RESUMO!B99,tbAREAS[LOCALIDADE],RESUMO!A$92)</f>
        <v>24.25</v>
      </c>
      <c r="D99" s="28">
        <f ca="1">INDEX(PRODUTIVIDADES!$B$70:$M$85,MATCH(B99,PRODUTIVIDADES!$B$70:$B$85,0),12)</f>
        <v>2.75</v>
      </c>
      <c r="E99" s="28">
        <f t="shared" ca="1" si="15"/>
        <v>66.6875</v>
      </c>
      <c r="F99" s="30">
        <f ca="1">E99*12</f>
        <v>800.25</v>
      </c>
    </row>
    <row r="100" spans="1:6" ht="15" customHeight="1" x14ac:dyDescent="0.25">
      <c r="A100" s="262"/>
      <c r="B100" s="263" t="s">
        <v>14</v>
      </c>
      <c r="C100" s="28">
        <f>SUMIFS(tbAREAS[ÁREA EM M²],tbAREAS[TIPO DE ÁREA],RESUMO!B100,tbAREAS[LOCALIDADE],RESUMO!A$92)</f>
        <v>2966.3600000000006</v>
      </c>
      <c r="D100" s="28">
        <f ca="1">INDEX(PRODUTIVIDADES!$B$70:$M$85,MATCH(B100,PRODUTIVIDADES!$B$70:$B$85,0),12)</f>
        <v>7.5</v>
      </c>
      <c r="E100" s="28">
        <f t="shared" ca="1" si="15"/>
        <v>22247.700000000004</v>
      </c>
      <c r="F100" s="30">
        <f t="shared" ref="F100:F102" ca="1" si="17">E100*12</f>
        <v>266972.40000000002</v>
      </c>
    </row>
    <row r="101" spans="1:6" ht="15" customHeight="1" x14ac:dyDescent="0.25">
      <c r="A101" s="262"/>
      <c r="B101" s="263" t="s">
        <v>15</v>
      </c>
      <c r="C101" s="28">
        <f>SUMIFS(tbAREAS[ÁREA EM M²],tbAREAS[TIPO DE ÁREA],RESUMO!B101,tbAREAS[LOCALIDADE],RESUMO!A$92)</f>
        <v>568.92000000000007</v>
      </c>
      <c r="D101" s="28">
        <f ca="1">INDEX(PRODUTIVIDADES!$B$70:$M$85,MATCH(B101,PRODUTIVIDADES!$B$70:$B$85,0),12)</f>
        <v>0.61</v>
      </c>
      <c r="E101" s="28">
        <f t="shared" ca="1" si="15"/>
        <v>347.04120000000006</v>
      </c>
      <c r="F101" s="30">
        <f t="shared" ca="1" si="17"/>
        <v>4164.4944000000005</v>
      </c>
    </row>
    <row r="102" spans="1:6" ht="15" hidden="1" customHeight="1" x14ac:dyDescent="0.25">
      <c r="A102" s="264"/>
      <c r="B102" s="265" t="s">
        <v>16</v>
      </c>
      <c r="C102" s="28">
        <f>SUMIFS(tbAREAS[ÁREA EM M²],tbAREAS[TIPO DE ÁREA],RESUMO!B102,tbAREAS[LOCALIDADE],RESUMO!A$92)</f>
        <v>0</v>
      </c>
      <c r="D102" s="28">
        <f>INDEX(PRODUTIVIDADES!$B$70:$M$85,MATCH(B102,PRODUTIVIDADES!$B$70:$B$85,0),12)</f>
        <v>0</v>
      </c>
      <c r="E102" s="28">
        <f t="shared" si="15"/>
        <v>0</v>
      </c>
      <c r="F102" s="30">
        <f t="shared" si="17"/>
        <v>0</v>
      </c>
    </row>
    <row r="103" spans="1:6" ht="15" customHeight="1" x14ac:dyDescent="0.25">
      <c r="A103" s="264"/>
      <c r="B103" s="265" t="s">
        <v>17</v>
      </c>
      <c r="C103" s="28">
        <f>SUMIFS(tbAREAS[ÁREA EM M²],tbAREAS[TIPO DE ÁREA],RESUMO!B103,tbAREAS[LOCALIDADE],RESUMO!A$92)</f>
        <v>3266.3999999999996</v>
      </c>
      <c r="D103" s="28">
        <f ca="1">INDEX(PRODUTIVIDADES!$B$70:$M$85,MATCH(B103,PRODUTIVIDADES!$B$70:$B$85,0),12)</f>
        <v>2.06</v>
      </c>
      <c r="E103" s="28">
        <f t="shared" ref="E103:E104" ca="1" si="18">D103*C103</f>
        <v>6728.7839999999997</v>
      </c>
      <c r="F103" s="30">
        <f t="shared" ref="F103:F104" ca="1" si="19">E103*12</f>
        <v>80745.407999999996</v>
      </c>
    </row>
    <row r="104" spans="1:6" ht="15" customHeight="1" x14ac:dyDescent="0.25">
      <c r="A104" s="264"/>
      <c r="B104" s="265" t="s">
        <v>18</v>
      </c>
      <c r="C104" s="28">
        <f>SUMIFS(tbAREAS[ÁREA EM M²],tbAREAS[TIPO DE ÁREA],RESUMO!B104,tbAREAS[LOCALIDADE],RESUMO!A$92)</f>
        <v>475.90999999999997</v>
      </c>
      <c r="D104" s="28">
        <f ca="1">INDEX(PRODUTIVIDADES!$B$70:$M$85,MATCH(B104,PRODUTIVIDADES!$B$70:$B$85,0),12)</f>
        <v>40.090000000000003</v>
      </c>
      <c r="E104" s="28">
        <f t="shared" ca="1" si="18"/>
        <v>19079.231899999999</v>
      </c>
      <c r="F104" s="30">
        <f t="shared" ca="1" si="19"/>
        <v>228950.78279999999</v>
      </c>
    </row>
    <row r="105" spans="1:6" ht="15" customHeight="1" x14ac:dyDescent="0.25">
      <c r="A105" s="419" t="s">
        <v>19</v>
      </c>
      <c r="B105" s="420"/>
      <c r="C105" s="420"/>
      <c r="D105" s="420"/>
      <c r="E105" s="420"/>
      <c r="F105" s="421"/>
    </row>
    <row r="106" spans="1:6" ht="15" customHeight="1" x14ac:dyDescent="0.25">
      <c r="A106" s="264"/>
      <c r="B106" s="265" t="s">
        <v>20</v>
      </c>
      <c r="C106" s="28">
        <f>SUMIFS(tbAREAS[ÁREA EM M²],tbAREAS[TIPO DE ÁREA],RESUMO!B106,tbAREAS[LOCALIDADE],RESUMO!A$92)</f>
        <v>1397.6999999999998</v>
      </c>
      <c r="D106" s="28">
        <f ca="1">INDEX(PRODUTIVIDADES!$B$70:$M$85,MATCH(B106,PRODUTIVIDADES!$B$70:$B$85,0),12)</f>
        <v>0.68</v>
      </c>
      <c r="E106" s="28">
        <f ca="1">D106*C106</f>
        <v>950.43599999999992</v>
      </c>
      <c r="F106" s="30">
        <f ca="1">E106*12</f>
        <v>11405.232</v>
      </c>
    </row>
    <row r="107" spans="1:6" ht="15" customHeight="1" x14ac:dyDescent="0.25">
      <c r="A107" s="419" t="s">
        <v>1103</v>
      </c>
      <c r="B107" s="420"/>
      <c r="C107" s="420"/>
      <c r="D107" s="420"/>
      <c r="E107" s="420"/>
      <c r="F107" s="421"/>
    </row>
    <row r="108" spans="1:6" ht="15" customHeight="1" x14ac:dyDescent="0.25">
      <c r="A108" s="264"/>
      <c r="B108" s="265" t="s">
        <v>21</v>
      </c>
      <c r="C108" s="28">
        <f>SUMIFS(tbAREAS[ÁREA EM M²],tbAREAS[TIPO DE ÁREA],RESUMO!B108,tbAREAS[LOCALIDADE],RESUMO!A$92)</f>
        <v>3074.6900000000005</v>
      </c>
      <c r="D108" s="28">
        <f ca="1">INDEX(PRODUTIVIDADES!$B$70:$M$85,MATCH(B108,PRODUTIVIDADES!$B$70:$B$85,0),12)</f>
        <v>0.17</v>
      </c>
      <c r="E108" s="28">
        <f ca="1">D108*C108</f>
        <v>522.69730000000015</v>
      </c>
      <c r="F108" s="30">
        <f ca="1">E108*12</f>
        <v>6272.3676000000014</v>
      </c>
    </row>
    <row r="109" spans="1:6" ht="15" customHeight="1" x14ac:dyDescent="0.25">
      <c r="A109" s="264"/>
      <c r="B109" s="265" t="s">
        <v>22</v>
      </c>
      <c r="C109" s="28">
        <f>SUMIFS(tbAREAS[ÁREA EM M²],tbAREAS[TIPO DE ÁREA],RESUMO!B109,tbAREAS[LOCALIDADE],RESUMO!A$92)</f>
        <v>3074.6900000000005</v>
      </c>
      <c r="D109" s="28">
        <f ca="1">INDEX(PRODUTIVIDADES!$B$70:$M$85,MATCH(B109,PRODUTIVIDADES!$B$70:$B$85,0),12)</f>
        <v>0.4</v>
      </c>
      <c r="E109" s="28">
        <f ca="1">D109*C109</f>
        <v>1229.8760000000002</v>
      </c>
      <c r="F109" s="30">
        <f ca="1">E109*12</f>
        <v>14758.512000000002</v>
      </c>
    </row>
    <row r="110" spans="1:6" ht="15" hidden="1" customHeight="1" x14ac:dyDescent="0.25">
      <c r="A110" s="264"/>
      <c r="B110" s="265" t="s">
        <v>23</v>
      </c>
      <c r="C110" s="28">
        <f>SUMIFS(tbAREAS[ÁREA EM M²],tbAREAS[TIPO DE ÁREA],RESUMO!B110,tbAREAS[LOCALIDADE],RESUMO!A$92)</f>
        <v>0</v>
      </c>
      <c r="D110" s="28">
        <f>INDEX(PRODUTIVIDADES!$B$70:$M$85,MATCH(B110,PRODUTIVIDADES!$B$70:$B$85,0),12)</f>
        <v>0</v>
      </c>
      <c r="E110" s="28">
        <f>D110*C110</f>
        <v>0</v>
      </c>
      <c r="F110" s="30">
        <f>E110*12</f>
        <v>0</v>
      </c>
    </row>
    <row r="111" spans="1:6" ht="15" hidden="1" customHeight="1" x14ac:dyDescent="0.25">
      <c r="A111" s="419" t="s">
        <v>24</v>
      </c>
      <c r="B111" s="420"/>
      <c r="C111" s="420"/>
      <c r="D111" s="420"/>
      <c r="E111" s="420"/>
      <c r="F111" s="421"/>
    </row>
    <row r="112" spans="1:6" ht="15" hidden="1" customHeight="1" x14ac:dyDescent="0.25">
      <c r="A112" s="264"/>
      <c r="B112" s="265" t="s">
        <v>34</v>
      </c>
      <c r="C112" s="28">
        <f>SUMIFS(tbPOSTOS[QUANTIDADE],tbPOSTOS[IDENTIFICAÇÃO],RESUMO!B112,tbPOSTOS[LOCALIDADE],RESUMO!A$92)</f>
        <v>0</v>
      </c>
      <c r="D112" s="256" cm="1">
        <f t="array" aca="1" ref="D112" ca="1">IF(C112&gt;0,INDEX(INDIRECT(CONCATENATE("'",VLOOKUP(B112,COD_POSTOS,5,0),"'!$1:$162")),MATCH("VALOR TOTAL DO POSTO",INDIRECT(CONCATENATE("'",VLOOKUP(B112,COD_POSTOS,5,0),"'!$A:$A")),0),MATCH("00 - VALOR ESTIMADO",INDIRECT(CONCATENATE("'",VLOOKUP(B112,COD_POSTOS,5,0),"'!$25:$25")),0)+1),0)</f>
        <v>0</v>
      </c>
      <c r="E112" s="28">
        <f t="shared" ref="E112:E117" ca="1" si="20">D112*C112</f>
        <v>0</v>
      </c>
      <c r="F112" s="30">
        <f t="shared" ref="F112:F117" ca="1" si="21">E112*12</f>
        <v>0</v>
      </c>
    </row>
    <row r="113" spans="1:6" ht="15" hidden="1" customHeight="1" x14ac:dyDescent="0.25">
      <c r="A113" s="264"/>
      <c r="B113" s="265" t="s">
        <v>26</v>
      </c>
      <c r="C113" s="28">
        <f>SUMIFS(tbPOSTOS[QUANTIDADE],tbPOSTOS[IDENTIFICAÇÃO],RESUMO!B113,tbPOSTOS[LOCALIDADE],RESUMO!A$92)</f>
        <v>0</v>
      </c>
      <c r="D113" s="256" cm="1">
        <f t="array" aca="1" ref="D113" ca="1">IF(C113&gt;0,INDEX(INDIRECT(CONCATENATE("'",VLOOKUP(B113,COD_POSTOS,5,0),"'!$1:$162")),MATCH("VALOR TOTAL DO POSTO",INDIRECT(CONCATENATE("'",VLOOKUP(B113,COD_POSTOS,5,0),"'!$A:$A")),0),MATCH("00 - VALOR ESTIMADO",INDIRECT(CONCATENATE("'",VLOOKUP(B113,COD_POSTOS,5,0),"'!$25:$25")),0)+1),0)</f>
        <v>0</v>
      </c>
      <c r="E113" s="28">
        <f t="shared" ca="1" si="20"/>
        <v>0</v>
      </c>
      <c r="F113" s="30">
        <f t="shared" ca="1" si="21"/>
        <v>0</v>
      </c>
    </row>
    <row r="114" spans="1:6" ht="15" hidden="1" customHeight="1" x14ac:dyDescent="0.25">
      <c r="A114" s="264"/>
      <c r="B114" s="265" t="s">
        <v>27</v>
      </c>
      <c r="C114" s="28">
        <f>SUMIFS(tbPOSTOS[QUANTIDADE],tbPOSTOS[IDENTIFICAÇÃO],RESUMO!B114,tbPOSTOS[LOCALIDADE],RESUMO!A$92)</f>
        <v>0</v>
      </c>
      <c r="D114" s="256" cm="1">
        <f t="array" aca="1" ref="D114" ca="1">IF(C114&gt;0,INDEX(INDIRECT(CONCATENATE("'",VLOOKUP(B114,COD_POSTOS,5,0),"'!$1:$162")),MATCH("VALOR TOTAL DO POSTO",INDIRECT(CONCATENATE("'",VLOOKUP(B114,COD_POSTOS,5,0),"'!$A:$A")),0),MATCH("00 - VALOR ESTIMADO",INDIRECT(CONCATENATE("'",VLOOKUP(B114,COD_POSTOS,5,0),"'!$25:$25")),0)+1),0)</f>
        <v>0</v>
      </c>
      <c r="E114" s="28">
        <f t="shared" ca="1" si="20"/>
        <v>0</v>
      </c>
      <c r="F114" s="30">
        <f t="shared" ca="1" si="21"/>
        <v>0</v>
      </c>
    </row>
    <row r="115" spans="1:6" ht="15" hidden="1" customHeight="1" x14ac:dyDescent="0.25">
      <c r="A115" s="264"/>
      <c r="B115" s="265" t="s">
        <v>28</v>
      </c>
      <c r="C115" s="28">
        <f>SUMIFS(tbPOSTOS[QUANTIDADE],tbPOSTOS[IDENTIFICAÇÃO],RESUMO!B115,tbPOSTOS[LOCALIDADE],RESUMO!A$92)</f>
        <v>0</v>
      </c>
      <c r="D115" s="256" cm="1">
        <f t="array" aca="1" ref="D115" ca="1">IF(C115&gt;0,INDEX(INDIRECT(CONCATENATE("'",VLOOKUP(B115,COD_POSTOS,5,0),"'!$1:$162")),MATCH("VALOR TOTAL DO POSTO",INDIRECT(CONCATENATE("'",VLOOKUP(B115,COD_POSTOS,5,0),"'!$A:$A")),0),MATCH("00 - VALOR ESTIMADO",INDIRECT(CONCATENATE("'",VLOOKUP(B115,COD_POSTOS,5,0),"'!$25:$25")),0)+1),0)</f>
        <v>0</v>
      </c>
      <c r="E115" s="28">
        <f t="shared" ca="1" si="20"/>
        <v>0</v>
      </c>
      <c r="F115" s="30">
        <f t="shared" ca="1" si="21"/>
        <v>0</v>
      </c>
    </row>
    <row r="116" spans="1:6" ht="15" hidden="1" customHeight="1" x14ac:dyDescent="0.25">
      <c r="A116" s="264"/>
      <c r="B116" s="265" t="s">
        <v>29</v>
      </c>
      <c r="C116" s="28">
        <f>SUMIFS(tbPOSTOS[QUANTIDADE],tbPOSTOS[IDENTIFICAÇÃO],RESUMO!B116,tbPOSTOS[LOCALIDADE],RESUMO!A$92)</f>
        <v>0</v>
      </c>
      <c r="D116" s="256" cm="1">
        <f t="array" aca="1" ref="D116" ca="1">IF(C116&gt;0,INDEX(INDIRECT(CONCATENATE("'",VLOOKUP(B116,COD_POSTOS,5,0),"'!$1:$162")),MATCH("VALOR TOTAL DO POSTO",INDIRECT(CONCATENATE("'",VLOOKUP(B116,COD_POSTOS,5,0),"'!$A:$A")),0),MATCH("00 - VALOR ESTIMADO",INDIRECT(CONCATENATE("'",VLOOKUP(B116,COD_POSTOS,5,0),"'!$25:$25")),0)+1),0)</f>
        <v>0</v>
      </c>
      <c r="E116" s="28">
        <f t="shared" ca="1" si="20"/>
        <v>0</v>
      </c>
      <c r="F116" s="30">
        <f t="shared" ca="1" si="21"/>
        <v>0</v>
      </c>
    </row>
    <row r="117" spans="1:6" ht="15" hidden="1" customHeight="1" x14ac:dyDescent="0.25">
      <c r="A117" s="264"/>
      <c r="B117" s="265" t="s">
        <v>30</v>
      </c>
      <c r="C117" s="28">
        <f>SUMIFS(tbPOSTOS[QUANTIDADE],tbPOSTOS[IDENTIFICAÇÃO],RESUMO!B117,tbPOSTOS[LOCALIDADE],RESUMO!A$92)</f>
        <v>0</v>
      </c>
      <c r="D117" s="256" cm="1">
        <f t="array" aca="1" ref="D117" ca="1">IF(C117&gt;0,INDEX(INDIRECT(CONCATENATE("'",VLOOKUP(B117,COD_POSTOS,5,0),"'!$1:$162")),MATCH("VALOR TOTAL DO POSTO",INDIRECT(CONCATENATE("'",VLOOKUP(B117,COD_POSTOS,5,0),"'!$A:$A")),0),MATCH("00 - VALOR ESTIMADO",INDIRECT(CONCATENATE("'",VLOOKUP(B117,COD_POSTOS,5,0),"'!$25:$25")),0)+1),0)</f>
        <v>0</v>
      </c>
      <c r="E117" s="28">
        <f t="shared" ca="1" si="20"/>
        <v>0</v>
      </c>
      <c r="F117" s="30">
        <f t="shared" ca="1" si="21"/>
        <v>0</v>
      </c>
    </row>
    <row r="118" spans="1:6" ht="15" customHeight="1" x14ac:dyDescent="0.25">
      <c r="A118" s="411" t="s">
        <v>31</v>
      </c>
      <c r="B118" s="412"/>
      <c r="C118" s="235">
        <f>SUM(C108:C110,C106,C95:C104)</f>
        <v>19966.91</v>
      </c>
      <c r="D118" s="235">
        <f ca="1">SUMPRODUCT(C94:C101,D94:D101)</f>
        <v>50080.043700000002</v>
      </c>
      <c r="E118" s="235">
        <f ca="1">SUM(E95:E104,E106,E108:E110)</f>
        <v>78591.068900000013</v>
      </c>
      <c r="F118" s="236">
        <f ca="1">SUM(F95:F104,F106,F108:F110)</f>
        <v>943092.82679999992</v>
      </c>
    </row>
    <row r="119" spans="1:6" ht="15" customHeight="1" thickBot="1" x14ac:dyDescent="0.3">
      <c r="A119" s="413" t="s">
        <v>32</v>
      </c>
      <c r="B119" s="414"/>
      <c r="C119" s="31">
        <f>SUM(C112:C117)</f>
        <v>0</v>
      </c>
      <c r="D119" s="31"/>
      <c r="E119" s="31">
        <f ca="1">SUM(E112:E117)</f>
        <v>0</v>
      </c>
      <c r="F119" s="32">
        <f ca="1">SUM(F112:F117)</f>
        <v>0</v>
      </c>
    </row>
    <row r="120" spans="1:6" ht="15" customHeight="1" thickBot="1" x14ac:dyDescent="0.3"/>
    <row r="121" spans="1:6" ht="15" customHeight="1" x14ac:dyDescent="0.25">
      <c r="A121" s="408" t="s">
        <v>37</v>
      </c>
      <c r="B121" s="409"/>
      <c r="C121" s="409"/>
      <c r="D121" s="409"/>
      <c r="E121" s="409"/>
      <c r="F121" s="410"/>
    </row>
    <row r="122" spans="1:6" ht="15" hidden="1" customHeight="1" x14ac:dyDescent="0.25">
      <c r="A122" s="417" t="s">
        <v>3</v>
      </c>
      <c r="B122" s="418"/>
      <c r="C122" s="27" t="s">
        <v>4</v>
      </c>
      <c r="D122" s="27" t="s">
        <v>5</v>
      </c>
      <c r="E122" s="27" t="s">
        <v>6</v>
      </c>
      <c r="F122" s="29" t="s">
        <v>7</v>
      </c>
    </row>
    <row r="123" spans="1:6" ht="15" hidden="1" customHeight="1" x14ac:dyDescent="0.25">
      <c r="A123" s="419" t="s">
        <v>8</v>
      </c>
      <c r="B123" s="420"/>
      <c r="C123" s="420"/>
      <c r="D123" s="420"/>
      <c r="E123" s="420"/>
      <c r="F123" s="421"/>
    </row>
    <row r="124" spans="1:6" ht="15" hidden="1" customHeight="1" x14ac:dyDescent="0.25">
      <c r="A124" s="262"/>
      <c r="B124" s="263" t="s">
        <v>9</v>
      </c>
      <c r="C124" s="28">
        <f>SUMIFS(tbAREAS[ÁREA EM M²],tbAREAS[TIPO DE ÁREA],RESUMO!B124,tbAREAS[LOCALIDADE],RESUMO!A$121)</f>
        <v>0</v>
      </c>
      <c r="D124" s="28">
        <f>INDEX(PRODUTIVIDADES!$B$93:$M$108,MATCH(B124,PRODUTIVIDADES!$B$93:$B$108,0),12)</f>
        <v>0</v>
      </c>
      <c r="E124" s="28">
        <f>D124*C124</f>
        <v>0</v>
      </c>
      <c r="F124" s="30">
        <f>E124*12</f>
        <v>0</v>
      </c>
    </row>
    <row r="125" spans="1:6" ht="15" hidden="1" customHeight="1" x14ac:dyDescent="0.25">
      <c r="A125" s="262"/>
      <c r="B125" s="263" t="s">
        <v>10</v>
      </c>
      <c r="C125" s="28">
        <f>SUMIFS(tbAREAS[ÁREA EM M²],tbAREAS[TIPO DE ÁREA],RESUMO!B125,tbAREAS[LOCALIDADE],RESUMO!A$121)</f>
        <v>0</v>
      </c>
      <c r="D125" s="28">
        <f>INDEX(PRODUTIVIDADES!$B$93:$M$108,MATCH(B125,PRODUTIVIDADES!$B$93:$B$108,0),12)</f>
        <v>0</v>
      </c>
      <c r="E125" s="28">
        <f t="shared" ref="E125:E131" si="22">D125*C125</f>
        <v>0</v>
      </c>
      <c r="F125" s="30">
        <f t="shared" ref="F125:F126" si="23">E125*12</f>
        <v>0</v>
      </c>
    </row>
    <row r="126" spans="1:6" ht="15" hidden="1" customHeight="1" x14ac:dyDescent="0.25">
      <c r="A126" s="262"/>
      <c r="B126" s="263" t="s">
        <v>11</v>
      </c>
      <c r="C126" s="28">
        <f>SUMIFS(tbAREAS[ÁREA EM M²],tbAREAS[TIPO DE ÁREA],RESUMO!B126,tbAREAS[LOCALIDADE],RESUMO!A$121)</f>
        <v>0</v>
      </c>
      <c r="D126" s="28">
        <f>INDEX(PRODUTIVIDADES!$B$93:$M$108,MATCH(B126,PRODUTIVIDADES!$B$93:$B$108,0),12)</f>
        <v>0</v>
      </c>
      <c r="E126" s="28">
        <f t="shared" si="22"/>
        <v>0</v>
      </c>
      <c r="F126" s="30">
        <f t="shared" si="23"/>
        <v>0</v>
      </c>
    </row>
    <row r="127" spans="1:6" ht="15" hidden="1" customHeight="1" x14ac:dyDescent="0.25">
      <c r="A127" s="262"/>
      <c r="B127" s="263" t="s">
        <v>12</v>
      </c>
      <c r="C127" s="28">
        <f>SUMIFS(tbAREAS[ÁREA EM M²],tbAREAS[TIPO DE ÁREA],RESUMO!B127,tbAREAS[LOCALIDADE],RESUMO!A$121)</f>
        <v>0</v>
      </c>
      <c r="D127" s="28">
        <f>INDEX(PRODUTIVIDADES!$B$93:$M$108,MATCH(B127,PRODUTIVIDADES!$B$93:$B$108,0),12)</f>
        <v>0</v>
      </c>
      <c r="E127" s="28">
        <f t="shared" si="22"/>
        <v>0</v>
      </c>
      <c r="F127" s="30">
        <f>E127*12</f>
        <v>0</v>
      </c>
    </row>
    <row r="128" spans="1:6" ht="15" hidden="1" customHeight="1" x14ac:dyDescent="0.25">
      <c r="A128" s="262"/>
      <c r="B128" s="263" t="s">
        <v>13</v>
      </c>
      <c r="C128" s="28">
        <f>SUMIFS(tbAREAS[ÁREA EM M²],tbAREAS[TIPO DE ÁREA],RESUMO!B128,tbAREAS[LOCALIDADE],RESUMO!A$121)</f>
        <v>0</v>
      </c>
      <c r="D128" s="28">
        <f>INDEX(PRODUTIVIDADES!$B$93:$M$108,MATCH(B128,PRODUTIVIDADES!$B$93:$B$108,0),12)</f>
        <v>0</v>
      </c>
      <c r="E128" s="28">
        <f t="shared" si="22"/>
        <v>0</v>
      </c>
      <c r="F128" s="30">
        <f>E128*12</f>
        <v>0</v>
      </c>
    </row>
    <row r="129" spans="1:6" ht="15" hidden="1" customHeight="1" x14ac:dyDescent="0.25">
      <c r="A129" s="262"/>
      <c r="B129" s="263" t="s">
        <v>14</v>
      </c>
      <c r="C129" s="28">
        <f>SUMIFS(tbAREAS[ÁREA EM M²],tbAREAS[TIPO DE ÁREA],RESUMO!B129,tbAREAS[LOCALIDADE],RESUMO!A$121)</f>
        <v>0</v>
      </c>
      <c r="D129" s="28">
        <f>INDEX(PRODUTIVIDADES!$B$93:$M$108,MATCH(B129,PRODUTIVIDADES!$B$93:$B$108,0),12)</f>
        <v>0</v>
      </c>
      <c r="E129" s="28">
        <f t="shared" si="22"/>
        <v>0</v>
      </c>
      <c r="F129" s="30">
        <f t="shared" ref="F129:F131" si="24">E129*12</f>
        <v>0</v>
      </c>
    </row>
    <row r="130" spans="1:6" ht="15" hidden="1" customHeight="1" x14ac:dyDescent="0.25">
      <c r="A130" s="262"/>
      <c r="B130" s="263" t="s">
        <v>15</v>
      </c>
      <c r="C130" s="28">
        <f>SUMIFS(tbAREAS[ÁREA EM M²],tbAREAS[TIPO DE ÁREA],RESUMO!B130,tbAREAS[LOCALIDADE],RESUMO!A$121)</f>
        <v>0</v>
      </c>
      <c r="D130" s="28">
        <f>INDEX(PRODUTIVIDADES!$B$93:$M$108,MATCH(B130,PRODUTIVIDADES!$B$93:$B$108,0),12)</f>
        <v>0</v>
      </c>
      <c r="E130" s="28">
        <f t="shared" si="22"/>
        <v>0</v>
      </c>
      <c r="F130" s="30">
        <f t="shared" si="24"/>
        <v>0</v>
      </c>
    </row>
    <row r="131" spans="1:6" ht="15" hidden="1" customHeight="1" x14ac:dyDescent="0.25">
      <c r="A131" s="264"/>
      <c r="B131" s="265" t="s">
        <v>16</v>
      </c>
      <c r="C131" s="28">
        <f>SUMIFS(tbAREAS[ÁREA EM M²],tbAREAS[TIPO DE ÁREA],RESUMO!B131,tbAREAS[LOCALIDADE],RESUMO!A$121)</f>
        <v>0</v>
      </c>
      <c r="D131" s="28">
        <f>INDEX(PRODUTIVIDADES!$B$93:$M$108,MATCH(B131,PRODUTIVIDADES!$B$93:$B$108,0),12)</f>
        <v>0</v>
      </c>
      <c r="E131" s="28">
        <f t="shared" si="22"/>
        <v>0</v>
      </c>
      <c r="F131" s="30">
        <f t="shared" si="24"/>
        <v>0</v>
      </c>
    </row>
    <row r="132" spans="1:6" ht="15" hidden="1" customHeight="1" x14ac:dyDescent="0.25">
      <c r="A132" s="264"/>
      <c r="B132" s="265" t="s">
        <v>17</v>
      </c>
      <c r="C132" s="28">
        <f>SUMIFS(tbAREAS[ÁREA EM M²],tbAREAS[TIPO DE ÁREA],RESUMO!B132,tbAREAS[LOCALIDADE],RESUMO!A$121)</f>
        <v>0</v>
      </c>
      <c r="D132" s="28">
        <f>INDEX(PRODUTIVIDADES!$B$93:$M$108,MATCH(B132,PRODUTIVIDADES!$B$93:$B$108,0),12)</f>
        <v>0</v>
      </c>
      <c r="E132" s="28"/>
      <c r="F132" s="30"/>
    </row>
    <row r="133" spans="1:6" ht="15" hidden="1" customHeight="1" x14ac:dyDescent="0.25">
      <c r="A133" s="264"/>
      <c r="B133" s="265" t="s">
        <v>18</v>
      </c>
      <c r="C133" s="28">
        <f>SUMIFS(tbAREAS[ÁREA EM M²],tbAREAS[TIPO DE ÁREA],RESUMO!B133,tbAREAS[LOCALIDADE],RESUMO!A$121)</f>
        <v>0</v>
      </c>
      <c r="D133" s="28">
        <f>INDEX(PRODUTIVIDADES!$B$93:$M$108,MATCH(B133,PRODUTIVIDADES!$B$93:$B$108,0),12)</f>
        <v>0</v>
      </c>
      <c r="E133" s="28"/>
      <c r="F133" s="30"/>
    </row>
    <row r="134" spans="1:6" ht="15" hidden="1" customHeight="1" x14ac:dyDescent="0.25">
      <c r="A134" s="419" t="s">
        <v>19</v>
      </c>
      <c r="B134" s="420"/>
      <c r="C134" s="420"/>
      <c r="D134" s="420"/>
      <c r="E134" s="420"/>
      <c r="F134" s="421"/>
    </row>
    <row r="135" spans="1:6" ht="15" hidden="1" customHeight="1" x14ac:dyDescent="0.25">
      <c r="A135" s="264"/>
      <c r="B135" s="265" t="s">
        <v>20</v>
      </c>
      <c r="C135" s="28">
        <f>SUMIFS(tbAREAS[ÁREA EM M²],tbAREAS[TIPO DE ÁREA],RESUMO!B135,tbAREAS[LOCALIDADE],RESUMO!A$121)</f>
        <v>0</v>
      </c>
      <c r="D135" s="28">
        <f>INDEX(PRODUTIVIDADES!$B$93:$M$108,MATCH(B135,PRODUTIVIDADES!$B$93:$B$108,0),12)</f>
        <v>0</v>
      </c>
      <c r="E135" s="28">
        <f>D135*C135</f>
        <v>0</v>
      </c>
      <c r="F135" s="30">
        <f>E135*12</f>
        <v>0</v>
      </c>
    </row>
    <row r="136" spans="1:6" ht="15" hidden="1" customHeight="1" x14ac:dyDescent="0.25">
      <c r="A136" s="419" t="s">
        <v>1103</v>
      </c>
      <c r="B136" s="420"/>
      <c r="C136" s="420"/>
      <c r="D136" s="420"/>
      <c r="E136" s="420"/>
      <c r="F136" s="421"/>
    </row>
    <row r="137" spans="1:6" ht="15" hidden="1" customHeight="1" x14ac:dyDescent="0.25">
      <c r="A137" s="264"/>
      <c r="B137" s="265" t="s">
        <v>21</v>
      </c>
      <c r="C137" s="28">
        <f>SUMIFS(tbAREAS[ÁREA EM M²],tbAREAS[TIPO DE ÁREA],RESUMO!B137,tbAREAS[LOCALIDADE],RESUMO!A$121)</f>
        <v>0</v>
      </c>
      <c r="D137" s="28">
        <f>INDEX(PRODUTIVIDADES!$B$93:$M$108,MATCH(B137,PRODUTIVIDADES!$B$93:$B$108,0),12)</f>
        <v>0</v>
      </c>
      <c r="E137" s="28">
        <f>D137*C137</f>
        <v>0</v>
      </c>
      <c r="F137" s="30">
        <f>E137*12</f>
        <v>0</v>
      </c>
    </row>
    <row r="138" spans="1:6" ht="15" hidden="1" customHeight="1" x14ac:dyDescent="0.25">
      <c r="A138" s="264"/>
      <c r="B138" s="265" t="s">
        <v>22</v>
      </c>
      <c r="C138" s="28">
        <f>SUMIFS(tbAREAS[ÁREA EM M²],tbAREAS[TIPO DE ÁREA],RESUMO!B138,tbAREAS[LOCALIDADE],RESUMO!A$121)</f>
        <v>0</v>
      </c>
      <c r="D138" s="28">
        <f>INDEX(PRODUTIVIDADES!$B$93:$M$108,MATCH(B138,PRODUTIVIDADES!$B$93:$B$108,0),12)</f>
        <v>0</v>
      </c>
      <c r="E138" s="28"/>
      <c r="F138" s="30"/>
    </row>
    <row r="139" spans="1:6" ht="15" hidden="1" customHeight="1" x14ac:dyDescent="0.25">
      <c r="A139" s="264"/>
      <c r="B139" s="265" t="s">
        <v>23</v>
      </c>
      <c r="C139" s="28">
        <f>SUMIFS(tbAREAS[ÁREA EM M²],tbAREAS[TIPO DE ÁREA],RESUMO!B139,tbAREAS[LOCALIDADE],RESUMO!A$92)</f>
        <v>0</v>
      </c>
      <c r="D139" s="28">
        <f>INDEX(PRODUTIVIDADES!$B$93:$M$108,MATCH(B139,PRODUTIVIDADES!$B$93:$B$108,0),12)</f>
        <v>0</v>
      </c>
      <c r="E139" s="28">
        <f>D139*C139</f>
        <v>0</v>
      </c>
      <c r="F139" s="30">
        <f>E139*12</f>
        <v>0</v>
      </c>
    </row>
    <row r="140" spans="1:6" ht="15" customHeight="1" x14ac:dyDescent="0.25">
      <c r="A140" s="419" t="s">
        <v>24</v>
      </c>
      <c r="B140" s="420"/>
      <c r="C140" s="420"/>
      <c r="D140" s="420"/>
      <c r="E140" s="420"/>
      <c r="F140" s="421"/>
    </row>
    <row r="141" spans="1:6" ht="15" hidden="1" customHeight="1" x14ac:dyDescent="0.25">
      <c r="A141" s="264"/>
      <c r="B141" s="265" t="s">
        <v>34</v>
      </c>
      <c r="C141" s="28">
        <f>SUMIFS(tbPOSTOS[QUANTIDADE],tbPOSTOS[IDENTIFICAÇÃO],RESUMO!B141,tbPOSTOS[LOCALIDADE],RESUMO!A$121)</f>
        <v>0</v>
      </c>
      <c r="D141" s="256" cm="1">
        <f t="array" aca="1" ref="D141" ca="1">IF(C141&gt;0,INDEX(INDIRECT(CONCATENATE("'",VLOOKUP(B141,COD_POSTOS,7,0),"'!$1:$162")),MATCH("VALOR TOTAL DO POSTO",INDIRECT(CONCATENATE("'",VLOOKUP(B141,COD_POSTOS,7,0),"'!$A:$A")),0),MATCH("00 - VALOR ESTIMADO",INDIRECT(CONCATENATE("'",VLOOKUP(B141,COD_POSTOS,7,0),"'!$25:$25")),0)+1),0)</f>
        <v>0</v>
      </c>
      <c r="E141" s="28">
        <f t="shared" ref="E141:E146" ca="1" si="25">D141*C141</f>
        <v>0</v>
      </c>
      <c r="F141" s="30">
        <f t="shared" ref="F141:F146" ca="1" si="26">E141*12</f>
        <v>0</v>
      </c>
    </row>
    <row r="142" spans="1:6" ht="15" customHeight="1" x14ac:dyDescent="0.25">
      <c r="A142" s="264"/>
      <c r="B142" s="265" t="s">
        <v>26</v>
      </c>
      <c r="C142" s="28">
        <f>SUMIFS(tbPOSTOS[QUANTIDADE],tbPOSTOS[IDENTIFICAÇÃO],RESUMO!B142,tbPOSTOS[LOCALIDADE],RESUMO!A$121)</f>
        <v>2</v>
      </c>
      <c r="D142" s="256" cm="1">
        <f t="array" aca="1" ref="D142" ca="1">IF(C142&gt;0,INDEX(INDIRECT(CONCATENATE("'",VLOOKUP(B142,COD_POSTOS,7,0),"'!$1:$162")),MATCH("VALOR TOTAL DO POSTO",INDIRECT(CONCATENATE("'",VLOOKUP(B142,COD_POSTOS,7,0),"'!$A:$A")),0),MATCH("00 - VALOR ESTIMADO",INDIRECT(CONCATENATE("'",VLOOKUP(B142,COD_POSTOS,7,0),"'!$25:$25")),0)+1),0)</f>
        <v>5481.06</v>
      </c>
      <c r="E142" s="28">
        <f t="shared" ca="1" si="25"/>
        <v>10962.12</v>
      </c>
      <c r="F142" s="30">
        <f t="shared" ca="1" si="26"/>
        <v>131545.44</v>
      </c>
    </row>
    <row r="143" spans="1:6" ht="15" hidden="1" customHeight="1" x14ac:dyDescent="0.25">
      <c r="A143" s="264"/>
      <c r="B143" s="265" t="s">
        <v>27</v>
      </c>
      <c r="C143" s="28">
        <f>SUMIFS(tbPOSTOS[QUANTIDADE],tbPOSTOS[IDENTIFICAÇÃO],RESUMO!B143,tbPOSTOS[LOCALIDADE],RESUMO!A$121)</f>
        <v>0</v>
      </c>
      <c r="D143" s="256" cm="1">
        <f t="array" aca="1" ref="D143" ca="1">IF(C143&gt;0,INDEX(INDIRECT(CONCATENATE("'",VLOOKUP(B143,COD_POSTOS,7,0),"'!$1:$162")),MATCH("VALOR TOTAL DO POSTO",INDIRECT(CONCATENATE("'",VLOOKUP(B143,COD_POSTOS,7,0),"'!$A:$A")),0),MATCH("00 - VALOR ESTIMADO",INDIRECT(CONCATENATE("'",VLOOKUP(B143,COD_POSTOS,7,0),"'!$25:$25")),0)+1),0)</f>
        <v>0</v>
      </c>
      <c r="E143" s="28">
        <f t="shared" ca="1" si="25"/>
        <v>0</v>
      </c>
      <c r="F143" s="30">
        <f t="shared" ca="1" si="26"/>
        <v>0</v>
      </c>
    </row>
    <row r="144" spans="1:6" ht="15" hidden="1" customHeight="1" x14ac:dyDescent="0.25">
      <c r="A144" s="264"/>
      <c r="B144" s="265" t="s">
        <v>28</v>
      </c>
      <c r="C144" s="28">
        <f>SUMIFS(tbPOSTOS[QUANTIDADE],tbPOSTOS[IDENTIFICAÇÃO],RESUMO!B144,tbPOSTOS[LOCALIDADE],RESUMO!A$121)</f>
        <v>0</v>
      </c>
      <c r="D144" s="256" cm="1">
        <f t="array" aca="1" ref="D144" ca="1">IF(C144&gt;0,INDEX(INDIRECT(CONCATENATE("'",VLOOKUP(B144,COD_POSTOS,7,0),"'!$1:$162")),MATCH("VALOR TOTAL DO POSTO",INDIRECT(CONCATENATE("'",VLOOKUP(B144,COD_POSTOS,7,0),"'!$A:$A")),0),MATCH("00 - VALOR ESTIMADO",INDIRECT(CONCATENATE("'",VLOOKUP(B144,COD_POSTOS,7,0),"'!$25:$25")),0)+1),0)</f>
        <v>0</v>
      </c>
      <c r="E144" s="28">
        <f t="shared" ca="1" si="25"/>
        <v>0</v>
      </c>
      <c r="F144" s="30">
        <f t="shared" ca="1" si="26"/>
        <v>0</v>
      </c>
    </row>
    <row r="145" spans="1:6" ht="15" hidden="1" customHeight="1" x14ac:dyDescent="0.25">
      <c r="A145" s="264"/>
      <c r="B145" s="265" t="s">
        <v>29</v>
      </c>
      <c r="C145" s="28">
        <f>SUMIFS(tbPOSTOS[QUANTIDADE],tbPOSTOS[IDENTIFICAÇÃO],RESUMO!B145,tbPOSTOS[LOCALIDADE],RESUMO!A$121)</f>
        <v>0</v>
      </c>
      <c r="D145" s="256" cm="1">
        <f t="array" aca="1" ref="D145" ca="1">IF(C145&gt;0,INDEX(INDIRECT(CONCATENATE("'",VLOOKUP(B145,COD_POSTOS,7,0),"'!$1:$162")),MATCH("VALOR TOTAL DO POSTO",INDIRECT(CONCATENATE("'",VLOOKUP(B145,COD_POSTOS,7,0),"'!$A:$A")),0),MATCH("00 - VALOR ESTIMADO",INDIRECT(CONCATENATE("'",VLOOKUP(B145,COD_POSTOS,7,0),"'!$25:$25")),0)+1),0)</f>
        <v>0</v>
      </c>
      <c r="E145" s="28">
        <f t="shared" ca="1" si="25"/>
        <v>0</v>
      </c>
      <c r="F145" s="30">
        <f t="shared" ca="1" si="26"/>
        <v>0</v>
      </c>
    </row>
    <row r="146" spans="1:6" ht="15" hidden="1" customHeight="1" x14ac:dyDescent="0.25">
      <c r="A146" s="264"/>
      <c r="B146" s="265" t="s">
        <v>30</v>
      </c>
      <c r="C146" s="28">
        <f>SUMIFS(tbPOSTOS[QUANTIDADE],tbPOSTOS[IDENTIFICAÇÃO],RESUMO!B146,tbPOSTOS[LOCALIDADE],RESUMO!A$121)</f>
        <v>0</v>
      </c>
      <c r="D146" s="256" cm="1">
        <f t="array" aca="1" ref="D146" ca="1">IF(C146&gt;0,INDEX(INDIRECT(CONCATENATE("'",VLOOKUP(B146,COD_POSTOS,7,0),"'!$1:$162")),MATCH("VALOR TOTAL DO POSTO",INDIRECT(CONCATENATE("'",VLOOKUP(B146,COD_POSTOS,7,0),"'!$A:$A")),0),MATCH("00 - VALOR ESTIMADO",INDIRECT(CONCATENATE("'",VLOOKUP(B146,COD_POSTOS,7,0),"'!$25:$25")),0)+1),0)</f>
        <v>0</v>
      </c>
      <c r="E146" s="28">
        <f t="shared" ca="1" si="25"/>
        <v>0</v>
      </c>
      <c r="F146" s="30">
        <f t="shared" ca="1" si="26"/>
        <v>0</v>
      </c>
    </row>
    <row r="147" spans="1:6" ht="15" customHeight="1" x14ac:dyDescent="0.25">
      <c r="A147" s="411" t="s">
        <v>31</v>
      </c>
      <c r="B147" s="412"/>
      <c r="C147" s="235">
        <f>SUM(C137:C139,C135,C124:C133)</f>
        <v>0</v>
      </c>
      <c r="D147" s="235">
        <f>SUMPRODUCT(C123:C130,D123:D130)</f>
        <v>0</v>
      </c>
      <c r="E147" s="235">
        <f>SUM(E124:E133,E135,E137:E139)</f>
        <v>0</v>
      </c>
      <c r="F147" s="236">
        <f>SUM(F124:F133,F135,F137:F139)</f>
        <v>0</v>
      </c>
    </row>
    <row r="148" spans="1:6" ht="15" customHeight="1" thickBot="1" x14ac:dyDescent="0.3">
      <c r="A148" s="413" t="s">
        <v>32</v>
      </c>
      <c r="B148" s="414"/>
      <c r="C148" s="31">
        <f>SUM(C141:C146)</f>
        <v>2</v>
      </c>
      <c r="D148" s="31"/>
      <c r="E148" s="31">
        <f ca="1">SUM(E141:E146)</f>
        <v>10962.12</v>
      </c>
      <c r="F148" s="32">
        <f ca="1">SUM(F141:F146)</f>
        <v>131545.44</v>
      </c>
    </row>
    <row r="149" spans="1:6" ht="15" customHeight="1" thickBot="1" x14ac:dyDescent="0.3"/>
    <row r="150" spans="1:6" ht="15" customHeight="1" x14ac:dyDescent="0.25">
      <c r="A150" s="408" t="s">
        <v>38</v>
      </c>
      <c r="B150" s="409"/>
      <c r="C150" s="409"/>
      <c r="D150" s="409"/>
      <c r="E150" s="409"/>
      <c r="F150" s="410"/>
    </row>
    <row r="151" spans="1:6" ht="15" customHeight="1" x14ac:dyDescent="0.25">
      <c r="A151" s="417" t="s">
        <v>3</v>
      </c>
      <c r="B151" s="418"/>
      <c r="C151" s="27" t="s">
        <v>4</v>
      </c>
      <c r="D151" s="27" t="s">
        <v>5</v>
      </c>
      <c r="E151" s="27" t="s">
        <v>6</v>
      </c>
      <c r="F151" s="29" t="s">
        <v>7</v>
      </c>
    </row>
    <row r="152" spans="1:6" ht="15" hidden="1" customHeight="1" x14ac:dyDescent="0.25">
      <c r="A152" s="419" t="s">
        <v>8</v>
      </c>
      <c r="B152" s="420"/>
      <c r="C152" s="420"/>
      <c r="D152" s="420"/>
      <c r="E152" s="420"/>
      <c r="F152" s="421"/>
    </row>
    <row r="153" spans="1:6" ht="15" hidden="1" customHeight="1" x14ac:dyDescent="0.25">
      <c r="A153" s="262"/>
      <c r="B153" s="263" t="s">
        <v>9</v>
      </c>
      <c r="C153" s="28">
        <f>SUMIFS(tbAREAS[ÁREA EM M²],tbAREAS[TIPO DE ÁREA],RESUMO!B153,tbAREAS[LOCALIDADE],RESUMO!A$150)</f>
        <v>0</v>
      </c>
      <c r="D153" s="28">
        <f>INDEX(PRODUTIVIDADES!$B$115:$M$130,MATCH(B153,PRODUTIVIDADES!$B$115:$B$130,0),12)</f>
        <v>0</v>
      </c>
      <c r="E153" s="28">
        <f>D153*C153</f>
        <v>0</v>
      </c>
      <c r="F153" s="30">
        <f>E153*12</f>
        <v>0</v>
      </c>
    </row>
    <row r="154" spans="1:6" ht="15" hidden="1" customHeight="1" x14ac:dyDescent="0.25">
      <c r="A154" s="262"/>
      <c r="B154" s="263" t="s">
        <v>10</v>
      </c>
      <c r="C154" s="28">
        <f>SUMIFS(tbAREAS[ÁREA EM M²],tbAREAS[TIPO DE ÁREA],RESUMO!B154,tbAREAS[LOCALIDADE],RESUMO!A$150)</f>
        <v>0</v>
      </c>
      <c r="D154" s="28">
        <f>INDEX(PRODUTIVIDADES!$B$115:$M$130,MATCH(B154,PRODUTIVIDADES!$B$115:$B$130,0),12)</f>
        <v>0</v>
      </c>
      <c r="E154" s="28">
        <f t="shared" ref="E154:E160" si="27">D154*C154</f>
        <v>0</v>
      </c>
      <c r="F154" s="30">
        <f t="shared" ref="F154:F155" si="28">E154*12</f>
        <v>0</v>
      </c>
    </row>
    <row r="155" spans="1:6" ht="15" hidden="1" customHeight="1" x14ac:dyDescent="0.25">
      <c r="A155" s="262"/>
      <c r="B155" s="263" t="s">
        <v>11</v>
      </c>
      <c r="C155" s="28">
        <f>SUMIFS(tbAREAS[ÁREA EM M²],tbAREAS[TIPO DE ÁREA],RESUMO!B155,tbAREAS[LOCALIDADE],RESUMO!A$150)</f>
        <v>0</v>
      </c>
      <c r="D155" s="28">
        <f>INDEX(PRODUTIVIDADES!$B$115:$M$130,MATCH(B155,PRODUTIVIDADES!$B$115:$B$130,0),12)</f>
        <v>0</v>
      </c>
      <c r="E155" s="28">
        <f t="shared" si="27"/>
        <v>0</v>
      </c>
      <c r="F155" s="30">
        <f t="shared" si="28"/>
        <v>0</v>
      </c>
    </row>
    <row r="156" spans="1:6" ht="15" hidden="1" customHeight="1" x14ac:dyDescent="0.25">
      <c r="A156" s="262"/>
      <c r="B156" s="263" t="s">
        <v>12</v>
      </c>
      <c r="C156" s="28">
        <f>SUMIFS(tbAREAS[ÁREA EM M²],tbAREAS[TIPO DE ÁREA],RESUMO!B156,tbAREAS[LOCALIDADE],RESUMO!A$150)</f>
        <v>0</v>
      </c>
      <c r="D156" s="28">
        <f>INDEX(PRODUTIVIDADES!$B$115:$M$130,MATCH(B156,PRODUTIVIDADES!$B$115:$B$130,0),12)</f>
        <v>0</v>
      </c>
      <c r="E156" s="28">
        <f t="shared" si="27"/>
        <v>0</v>
      </c>
      <c r="F156" s="30">
        <f>E156*12</f>
        <v>0</v>
      </c>
    </row>
    <row r="157" spans="1:6" ht="15" hidden="1" customHeight="1" x14ac:dyDescent="0.25">
      <c r="A157" s="262"/>
      <c r="B157" s="263" t="s">
        <v>13</v>
      </c>
      <c r="C157" s="28">
        <f>SUMIFS(tbAREAS[ÁREA EM M²],tbAREAS[TIPO DE ÁREA],RESUMO!B157,tbAREAS[LOCALIDADE],RESUMO!A$150)</f>
        <v>0</v>
      </c>
      <c r="D157" s="28">
        <f>INDEX(PRODUTIVIDADES!$B$115:$M$130,MATCH(B157,PRODUTIVIDADES!$B$115:$B$130,0),12)</f>
        <v>0</v>
      </c>
      <c r="E157" s="28">
        <f t="shared" si="27"/>
        <v>0</v>
      </c>
      <c r="F157" s="30">
        <f>E157*12</f>
        <v>0</v>
      </c>
    </row>
    <row r="158" spans="1:6" ht="15" hidden="1" customHeight="1" x14ac:dyDescent="0.25">
      <c r="A158" s="262"/>
      <c r="B158" s="263" t="s">
        <v>14</v>
      </c>
      <c r="C158" s="28">
        <f>SUMIFS(tbAREAS[ÁREA EM M²],tbAREAS[TIPO DE ÁREA],RESUMO!B158,tbAREAS[LOCALIDADE],RESUMO!A$150)</f>
        <v>0</v>
      </c>
      <c r="D158" s="28">
        <f>INDEX(PRODUTIVIDADES!$B$115:$M$130,MATCH(B158,PRODUTIVIDADES!$B$115:$B$130,0),12)</f>
        <v>0</v>
      </c>
      <c r="E158" s="28">
        <f t="shared" si="27"/>
        <v>0</v>
      </c>
      <c r="F158" s="30">
        <f t="shared" ref="F158:F160" si="29">E158*12</f>
        <v>0</v>
      </c>
    </row>
    <row r="159" spans="1:6" ht="15" hidden="1" customHeight="1" x14ac:dyDescent="0.25">
      <c r="A159" s="262"/>
      <c r="B159" s="263" t="s">
        <v>15</v>
      </c>
      <c r="C159" s="28">
        <f>SUMIFS(tbAREAS[ÁREA EM M²],tbAREAS[TIPO DE ÁREA],RESUMO!B159,tbAREAS[LOCALIDADE],RESUMO!A$150)</f>
        <v>0</v>
      </c>
      <c r="D159" s="28">
        <f>INDEX(PRODUTIVIDADES!$B$115:$M$130,MATCH(B159,PRODUTIVIDADES!$B$115:$B$130,0),12)</f>
        <v>0</v>
      </c>
      <c r="E159" s="28">
        <f t="shared" si="27"/>
        <v>0</v>
      </c>
      <c r="F159" s="30">
        <f t="shared" si="29"/>
        <v>0</v>
      </c>
    </row>
    <row r="160" spans="1:6" ht="15" hidden="1" customHeight="1" x14ac:dyDescent="0.25">
      <c r="A160" s="264"/>
      <c r="B160" s="265" t="s">
        <v>16</v>
      </c>
      <c r="C160" s="28">
        <f>SUMIFS(tbAREAS[ÁREA EM M²],tbAREAS[TIPO DE ÁREA],RESUMO!B160,tbAREAS[LOCALIDADE],RESUMO!A$150)</f>
        <v>0</v>
      </c>
      <c r="D160" s="28">
        <f>INDEX(PRODUTIVIDADES!$B$115:$M$130,MATCH(B160,PRODUTIVIDADES!$B$115:$B$130,0),12)</f>
        <v>0</v>
      </c>
      <c r="E160" s="28">
        <f t="shared" si="27"/>
        <v>0</v>
      </c>
      <c r="F160" s="30">
        <f t="shared" si="29"/>
        <v>0</v>
      </c>
    </row>
    <row r="161" spans="1:6" ht="15" hidden="1" customHeight="1" x14ac:dyDescent="0.25">
      <c r="A161" s="264"/>
      <c r="B161" s="265" t="s">
        <v>17</v>
      </c>
      <c r="C161" s="28">
        <f>SUMIFS(tbAREAS[ÁREA EM M²],tbAREAS[TIPO DE ÁREA],RESUMO!B161,tbAREAS[LOCALIDADE],RESUMO!A$150)</f>
        <v>0</v>
      </c>
      <c r="D161" s="28">
        <f>INDEX(PRODUTIVIDADES!$B$115:$M$130,MATCH(B161,PRODUTIVIDADES!$B$115:$B$130,0),12)</f>
        <v>0</v>
      </c>
      <c r="E161" s="28"/>
      <c r="F161" s="30"/>
    </row>
    <row r="162" spans="1:6" ht="15" hidden="1" customHeight="1" x14ac:dyDescent="0.25">
      <c r="A162" s="264"/>
      <c r="B162" s="265" t="s">
        <v>18</v>
      </c>
      <c r="C162" s="28">
        <f>SUMIFS(tbAREAS[ÁREA EM M²],tbAREAS[TIPO DE ÁREA],RESUMO!B162,tbAREAS[LOCALIDADE],RESUMO!A$150)</f>
        <v>0</v>
      </c>
      <c r="D162" s="28">
        <f>INDEX(PRODUTIVIDADES!$B$115:$M$130,MATCH(B162,PRODUTIVIDADES!$B$115:$B$130,0),12)</f>
        <v>0</v>
      </c>
      <c r="E162" s="28"/>
      <c r="F162" s="30"/>
    </row>
    <row r="163" spans="1:6" ht="15" hidden="1" customHeight="1" x14ac:dyDescent="0.25">
      <c r="A163" s="419" t="s">
        <v>19</v>
      </c>
      <c r="B163" s="420"/>
      <c r="C163" s="420"/>
      <c r="D163" s="420"/>
      <c r="E163" s="420"/>
      <c r="F163" s="421"/>
    </row>
    <row r="164" spans="1:6" ht="15" hidden="1" customHeight="1" x14ac:dyDescent="0.25">
      <c r="A164" s="264"/>
      <c r="B164" s="265" t="s">
        <v>20</v>
      </c>
      <c r="C164" s="28">
        <f>SUMIFS(tbAREAS[ÁREA EM M²],tbAREAS[TIPO DE ÁREA],RESUMO!B164,tbAREAS[LOCALIDADE],RESUMO!A$150)</f>
        <v>0</v>
      </c>
      <c r="D164" s="28">
        <f>INDEX(PRODUTIVIDADES!$B$115:$M$130,MATCH(B164,PRODUTIVIDADES!$B$115:$B$130,0),12)</f>
        <v>0</v>
      </c>
      <c r="E164" s="28">
        <f>D164*C164</f>
        <v>0</v>
      </c>
      <c r="F164" s="30">
        <f>E164*12</f>
        <v>0</v>
      </c>
    </row>
    <row r="165" spans="1:6" ht="15" customHeight="1" x14ac:dyDescent="0.25">
      <c r="A165" s="419" t="s">
        <v>1103</v>
      </c>
      <c r="B165" s="420"/>
      <c r="C165" s="420"/>
      <c r="D165" s="420"/>
      <c r="E165" s="420"/>
      <c r="F165" s="421"/>
    </row>
    <row r="166" spans="1:6" ht="15" customHeight="1" x14ac:dyDescent="0.25">
      <c r="A166" s="264"/>
      <c r="B166" s="265" t="s">
        <v>21</v>
      </c>
      <c r="C166" s="28">
        <f>SUMIFS(tbAREAS[ÁREA EM M²],tbAREAS[TIPO DE ÁREA],RESUMO!B166,tbAREAS[LOCALIDADE],RESUMO!A$150)</f>
        <v>691.05</v>
      </c>
      <c r="D166" s="28">
        <f ca="1">INDEX(PRODUTIVIDADES!$B$115:$M$130,MATCH(B166,PRODUTIVIDADES!$B$115:$B$130,0),12)</f>
        <v>0.17</v>
      </c>
      <c r="E166" s="28">
        <f ca="1">D166*C166</f>
        <v>117.4785</v>
      </c>
      <c r="F166" s="30">
        <f ca="1">E166*12</f>
        <v>1409.742</v>
      </c>
    </row>
    <row r="167" spans="1:6" ht="15" customHeight="1" x14ac:dyDescent="0.25">
      <c r="A167" s="264"/>
      <c r="B167" s="265" t="s">
        <v>22</v>
      </c>
      <c r="C167" s="28">
        <f>SUMIFS(tbAREAS[ÁREA EM M²],tbAREAS[TIPO DE ÁREA],RESUMO!B167,tbAREAS[LOCALIDADE],RESUMO!A$150)</f>
        <v>691.05</v>
      </c>
      <c r="D167" s="28">
        <f ca="1">INDEX(PRODUTIVIDADES!$B$115:$M$130,MATCH(B167,PRODUTIVIDADES!$B$115:$B$130,0),12)</f>
        <v>0.4</v>
      </c>
      <c r="E167" s="28">
        <f ca="1">D167*C167</f>
        <v>276.42</v>
      </c>
      <c r="F167" s="30">
        <f ca="1">E167*12</f>
        <v>3317.04</v>
      </c>
    </row>
    <row r="168" spans="1:6" ht="15" hidden="1" customHeight="1" x14ac:dyDescent="0.25">
      <c r="A168" s="264"/>
      <c r="B168" s="265" t="s">
        <v>23</v>
      </c>
      <c r="C168" s="28">
        <f>SUMIFS(tbAREAS[ÁREA EM M²],tbAREAS[TIPO DE ÁREA],RESUMO!B168,tbAREAS[LOCALIDADE],RESUMO!A$150)</f>
        <v>0</v>
      </c>
      <c r="D168" s="28">
        <f>INDEX(PRODUTIVIDADES!$B$115:$M$130,MATCH(B168,PRODUTIVIDADES!$B$115:$B$130,0),12)</f>
        <v>0</v>
      </c>
      <c r="E168" s="28">
        <f>D168*C168</f>
        <v>0</v>
      </c>
      <c r="F168" s="30">
        <f>E168*12</f>
        <v>0</v>
      </c>
    </row>
    <row r="169" spans="1:6" ht="15" customHeight="1" x14ac:dyDescent="0.25">
      <c r="A169" s="419" t="s">
        <v>24</v>
      </c>
      <c r="B169" s="420"/>
      <c r="C169" s="420"/>
      <c r="D169" s="420"/>
      <c r="E169" s="420"/>
      <c r="F169" s="421"/>
    </row>
    <row r="170" spans="1:6" ht="15" hidden="1" customHeight="1" x14ac:dyDescent="0.25">
      <c r="A170" s="264"/>
      <c r="B170" s="265" t="s">
        <v>34</v>
      </c>
      <c r="C170" s="28">
        <f>SUMIFS(tbPOSTOS[QUANTIDADE],tbPOSTOS[IDENTIFICAÇÃO],RESUMO!B170,tbPOSTOS[LOCALIDADE],RESUMO!A$150)</f>
        <v>0</v>
      </c>
      <c r="D170" s="256" cm="1">
        <f t="array" aca="1" ref="D170" ca="1">IF(C170&gt;0,INDEX(INDIRECT(CONCATENATE("'",VLOOKUP(B170,COD_POSTOS,6,0),"'!$1:$162")),MATCH("VALOR TOTAL DO POSTO",INDIRECT(CONCATENATE("'",VLOOKUP(B170,COD_POSTOS,6,0),"'!$A:$A")),0),MATCH("00 - VALOR ESTIMADO",INDIRECT(CONCATENATE("'",VLOOKUP(B170,COD_POSTOS,6,0),"'!$25:$25")),0)+1),0)</f>
        <v>0</v>
      </c>
      <c r="E170" s="28">
        <f t="shared" ref="E170:E175" ca="1" si="30">D170*C170</f>
        <v>0</v>
      </c>
      <c r="F170" s="30">
        <f t="shared" ref="F170:F175" ca="1" si="31">E170*12</f>
        <v>0</v>
      </c>
    </row>
    <row r="171" spans="1:6" ht="15" customHeight="1" x14ac:dyDescent="0.25">
      <c r="A171" s="264"/>
      <c r="B171" s="265" t="s">
        <v>26</v>
      </c>
      <c r="C171" s="28">
        <f>SUMIFS(tbPOSTOS[QUANTIDADE],tbPOSTOS[IDENTIFICAÇÃO],RESUMO!B171,tbPOSTOS[LOCALIDADE],RESUMO!A$150)</f>
        <v>2</v>
      </c>
      <c r="D171" s="256" cm="1">
        <f t="array" aca="1" ref="D171" ca="1">IF(C171&gt;0,INDEX(INDIRECT(CONCATENATE("'",VLOOKUP(B171,COD_POSTOS,6,0),"'!$1:$162")),MATCH("VALOR TOTAL DO POSTO",INDIRECT(CONCATENATE("'",VLOOKUP(B171,COD_POSTOS,6,0),"'!$A:$A")),0),MATCH("00 - VALOR ESTIMADO",INDIRECT(CONCATENATE("'",VLOOKUP(B171,COD_POSTOS,6,0),"'!$25:$25")),0)+1),0)</f>
        <v>5481.06</v>
      </c>
      <c r="E171" s="28">
        <f t="shared" ca="1" si="30"/>
        <v>10962.12</v>
      </c>
      <c r="F171" s="30">
        <f t="shared" ca="1" si="31"/>
        <v>131545.44</v>
      </c>
    </row>
    <row r="172" spans="1:6" ht="15" hidden="1" customHeight="1" x14ac:dyDescent="0.25">
      <c r="A172" s="264"/>
      <c r="B172" s="265" t="s">
        <v>27</v>
      </c>
      <c r="C172" s="28">
        <f>SUMIFS(tbPOSTOS[QUANTIDADE],tbPOSTOS[IDENTIFICAÇÃO],RESUMO!B172,tbPOSTOS[LOCALIDADE],RESUMO!A$150)</f>
        <v>0</v>
      </c>
      <c r="D172" s="256" cm="1">
        <f t="array" aca="1" ref="D172" ca="1">IF(C172&gt;0,INDEX(INDIRECT(CONCATENATE("'",VLOOKUP(B172,COD_POSTOS,6,0),"'!$1:$162")),MATCH("VALOR TOTAL DO POSTO",INDIRECT(CONCATENATE("'",VLOOKUP(B172,COD_POSTOS,6,0),"'!$A:$A")),0),MATCH("00 - VALOR ESTIMADO",INDIRECT(CONCATENATE("'",VLOOKUP(B172,COD_POSTOS,6,0),"'!$25:$25")),0)+1),0)</f>
        <v>0</v>
      </c>
      <c r="E172" s="28">
        <f t="shared" ca="1" si="30"/>
        <v>0</v>
      </c>
      <c r="F172" s="30">
        <f t="shared" ca="1" si="31"/>
        <v>0</v>
      </c>
    </row>
    <row r="173" spans="1:6" ht="15" hidden="1" customHeight="1" x14ac:dyDescent="0.25">
      <c r="A173" s="264"/>
      <c r="B173" s="265" t="s">
        <v>28</v>
      </c>
      <c r="C173" s="28">
        <f>SUMIFS(tbPOSTOS[QUANTIDADE],tbPOSTOS[IDENTIFICAÇÃO],RESUMO!B173,tbPOSTOS[LOCALIDADE],RESUMO!A$150)</f>
        <v>0</v>
      </c>
      <c r="D173" s="256" cm="1">
        <f t="array" aca="1" ref="D173" ca="1">IF(C173&gt;0,INDEX(INDIRECT(CONCATENATE("'",VLOOKUP(B173,COD_POSTOS,6,0),"'!$1:$162")),MATCH("VALOR TOTAL DO POSTO",INDIRECT(CONCATENATE("'",VLOOKUP(B173,COD_POSTOS,6,0),"'!$A:$A")),0),MATCH("00 - VALOR ESTIMADO",INDIRECT(CONCATENATE("'",VLOOKUP(B173,COD_POSTOS,6,0),"'!$25:$25")),0)+1),0)</f>
        <v>0</v>
      </c>
      <c r="E173" s="28">
        <f t="shared" ca="1" si="30"/>
        <v>0</v>
      </c>
      <c r="F173" s="30">
        <f t="shared" ca="1" si="31"/>
        <v>0</v>
      </c>
    </row>
    <row r="174" spans="1:6" ht="15" hidden="1" customHeight="1" x14ac:dyDescent="0.25">
      <c r="A174" s="264"/>
      <c r="B174" s="265" t="s">
        <v>29</v>
      </c>
      <c r="C174" s="28">
        <f>SUMIFS(tbPOSTOS[QUANTIDADE],tbPOSTOS[IDENTIFICAÇÃO],RESUMO!B174,tbPOSTOS[LOCALIDADE],RESUMO!A$150)</f>
        <v>0</v>
      </c>
      <c r="D174" s="256" cm="1">
        <f t="array" aca="1" ref="D174" ca="1">IF(C174&gt;0,INDEX(INDIRECT(CONCATENATE("'",VLOOKUP(B174,COD_POSTOS,6,0),"'!$1:$162")),MATCH("VALOR TOTAL DO POSTO",INDIRECT(CONCATENATE("'",VLOOKUP(B174,COD_POSTOS,6,0),"'!$A:$A")),0),MATCH("00 - VALOR ESTIMADO",INDIRECT(CONCATENATE("'",VLOOKUP(B174,COD_POSTOS,6,0),"'!$25:$25")),0)+1),0)</f>
        <v>0</v>
      </c>
      <c r="E174" s="28">
        <f t="shared" ca="1" si="30"/>
        <v>0</v>
      </c>
      <c r="F174" s="30">
        <f t="shared" ca="1" si="31"/>
        <v>0</v>
      </c>
    </row>
    <row r="175" spans="1:6" ht="15" hidden="1" customHeight="1" x14ac:dyDescent="0.25">
      <c r="A175" s="264"/>
      <c r="B175" s="265" t="s">
        <v>30</v>
      </c>
      <c r="C175" s="28">
        <f>SUMIFS(tbPOSTOS[QUANTIDADE],tbPOSTOS[IDENTIFICAÇÃO],RESUMO!B175,tbPOSTOS[LOCALIDADE],RESUMO!A$150)</f>
        <v>0</v>
      </c>
      <c r="D175" s="256" cm="1">
        <f t="array" aca="1" ref="D175" ca="1">IF(C175&gt;0,INDEX(INDIRECT(CONCATENATE("'",VLOOKUP(B175,COD_POSTOS,6,0),"'!$1:$162")),MATCH("VALOR TOTAL DO POSTO",INDIRECT(CONCATENATE("'",VLOOKUP(B175,COD_POSTOS,6,0),"'!$A:$A")),0),MATCH("00 - VALOR ESTIMADO",INDIRECT(CONCATENATE("'",VLOOKUP(B175,COD_POSTOS,6,0),"'!$25:$25")),0)+1),0)</f>
        <v>0</v>
      </c>
      <c r="E175" s="28">
        <f t="shared" ca="1" si="30"/>
        <v>0</v>
      </c>
      <c r="F175" s="30">
        <f t="shared" ca="1" si="31"/>
        <v>0</v>
      </c>
    </row>
    <row r="176" spans="1:6" ht="15" customHeight="1" x14ac:dyDescent="0.25">
      <c r="A176" s="411" t="s">
        <v>31</v>
      </c>
      <c r="B176" s="412"/>
      <c r="C176" s="235">
        <f>SUM(C166:C168,C164,C153:C162)</f>
        <v>1382.1</v>
      </c>
      <c r="D176" s="235">
        <f>SUMPRODUCT(C152:C159,D152:D159)</f>
        <v>0</v>
      </c>
      <c r="E176" s="235">
        <f ca="1">SUM(E153:E162,E164,E166:E168)</f>
        <v>393.89850000000001</v>
      </c>
      <c r="F176" s="236">
        <f ca="1">SUM(F153:F162,F164,F166:F168)</f>
        <v>4726.7820000000002</v>
      </c>
    </row>
    <row r="177" spans="1:25" ht="15" customHeight="1" thickBot="1" x14ac:dyDescent="0.3">
      <c r="A177" s="413" t="s">
        <v>32</v>
      </c>
      <c r="B177" s="414"/>
      <c r="C177" s="31">
        <f>SUM(C170:C175)</f>
        <v>2</v>
      </c>
      <c r="D177" s="31"/>
      <c r="E177" s="31">
        <f ca="1">SUM(E170:E175)</f>
        <v>10962.12</v>
      </c>
      <c r="F177" s="32">
        <f ca="1">SUM(F170:F175)</f>
        <v>131545.44</v>
      </c>
    </row>
    <row r="178" spans="1:25" x14ac:dyDescent="0.25">
      <c r="A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</row>
    <row r="179" spans="1:25" ht="15.75" thickBot="1" x14ac:dyDescent="0.3"/>
    <row r="180" spans="1:25" ht="15.75" customHeight="1" thickBot="1" x14ac:dyDescent="0.3">
      <c r="C180" s="422" t="s">
        <v>40</v>
      </c>
      <c r="D180" s="423"/>
      <c r="E180" s="423"/>
      <c r="F180" s="111" t="s">
        <v>41</v>
      </c>
    </row>
    <row r="181" spans="1:25" ht="15.75" customHeight="1" x14ac:dyDescent="0.25">
      <c r="C181" s="432" t="s">
        <v>42</v>
      </c>
      <c r="D181" s="433"/>
      <c r="E181" s="237">
        <f>SUM(C31,C60,C89,C118,C147,C176)</f>
        <v>444749.75999999983</v>
      </c>
      <c r="F181" s="267">
        <f>ROUNDDOWN(E181*0.25,0)</f>
        <v>111187</v>
      </c>
    </row>
    <row r="182" spans="1:25" ht="15.75" customHeight="1" x14ac:dyDescent="0.25">
      <c r="C182" s="415" t="s">
        <v>43</v>
      </c>
      <c r="D182" s="416"/>
      <c r="E182" s="110">
        <f>SUM(C32,C61,C90,C119,C148,C177)</f>
        <v>62</v>
      </c>
      <c r="F182" s="268">
        <f>ROUNDDOWN(E182*0.25,0)</f>
        <v>15</v>
      </c>
    </row>
    <row r="183" spans="1:25" ht="6" customHeight="1" x14ac:dyDescent="0.25">
      <c r="C183" s="426"/>
      <c r="D183" s="427"/>
      <c r="E183" s="427"/>
      <c r="F183" s="428"/>
    </row>
    <row r="184" spans="1:25" ht="15.75" customHeight="1" x14ac:dyDescent="0.25">
      <c r="C184" s="415" t="s">
        <v>44</v>
      </c>
      <c r="D184" s="416"/>
      <c r="E184" s="110">
        <f ca="1">SUM(E31,E60,E89,E118,E147,E176)</f>
        <v>1933665.5599999996</v>
      </c>
      <c r="F184" s="269">
        <f ca="1">E184*0.25</f>
        <v>483416.3899999999</v>
      </c>
    </row>
    <row r="185" spans="1:25" ht="15.75" customHeight="1" x14ac:dyDescent="0.25">
      <c r="C185" s="415" t="s">
        <v>45</v>
      </c>
      <c r="D185" s="416"/>
      <c r="E185" s="110">
        <f ca="1">SUM(E32,E61,E90,E119,E148,E177)</f>
        <v>365642.98000000004</v>
      </c>
      <c r="F185" s="269">
        <f ca="1">E185*0.25</f>
        <v>91410.74500000001</v>
      </c>
    </row>
    <row r="186" spans="1:25" ht="15.75" customHeight="1" x14ac:dyDescent="0.25">
      <c r="C186" s="415" t="s">
        <v>46</v>
      </c>
      <c r="D186" s="416"/>
      <c r="E186" s="110">
        <f>vlINSUMOS</f>
        <v>150014.64087896253</v>
      </c>
      <c r="F186" s="269">
        <f>E186*0.25</f>
        <v>37503.660219740632</v>
      </c>
    </row>
    <row r="187" spans="1:25" ht="15.75" customHeight="1" x14ac:dyDescent="0.25">
      <c r="C187" s="415" t="s">
        <v>47</v>
      </c>
      <c r="D187" s="416"/>
      <c r="E187" s="110">
        <f ca="1">SUM(E184:E186)</f>
        <v>2449323.1808789619</v>
      </c>
      <c r="F187" s="269">
        <f ca="1">E187*0.25</f>
        <v>612330.79521974048</v>
      </c>
    </row>
    <row r="188" spans="1:25" ht="6" customHeight="1" thickBot="1" x14ac:dyDescent="0.3">
      <c r="C188" s="429"/>
      <c r="D188" s="430"/>
      <c r="E188" s="430"/>
      <c r="F188" s="431"/>
    </row>
    <row r="189" spans="1:25" ht="15.75" customHeight="1" thickBot="1" x14ac:dyDescent="0.3">
      <c r="C189" s="424" t="s">
        <v>48</v>
      </c>
      <c r="D189" s="425"/>
      <c r="E189" s="196">
        <f ca="1">E187*12</f>
        <v>29391878.170547545</v>
      </c>
      <c r="F189" s="238">
        <f ca="1">E189*0.25</f>
        <v>7347969.5426368862</v>
      </c>
    </row>
    <row r="190" spans="1:25" ht="15.75" customHeight="1" x14ac:dyDescent="0.25"/>
    <row r="191" spans="1:25" ht="15.75" customHeight="1" x14ac:dyDescent="0.25">
      <c r="E191" s="255"/>
    </row>
    <row r="192" spans="1:25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  <row r="1025" ht="15.75" customHeight="1" x14ac:dyDescent="0.25"/>
    <row r="1026" ht="15.75" customHeight="1" x14ac:dyDescent="0.25"/>
    <row r="1027" ht="15.75" customHeight="1" x14ac:dyDescent="0.25"/>
    <row r="1028" ht="15.75" customHeight="1" x14ac:dyDescent="0.25"/>
    <row r="1029" ht="15.75" customHeight="1" x14ac:dyDescent="0.25"/>
    <row r="1030" ht="15.75" customHeight="1" x14ac:dyDescent="0.25"/>
    <row r="1031" ht="15.75" customHeight="1" x14ac:dyDescent="0.25"/>
    <row r="1032" ht="15.75" customHeight="1" x14ac:dyDescent="0.25"/>
    <row r="1033" ht="15.75" customHeight="1" x14ac:dyDescent="0.25"/>
    <row r="1034" ht="15.75" customHeight="1" x14ac:dyDescent="0.25"/>
    <row r="1035" ht="15.75" customHeight="1" x14ac:dyDescent="0.25"/>
    <row r="1036" ht="15.75" customHeight="1" x14ac:dyDescent="0.25"/>
    <row r="1037" ht="15.75" customHeight="1" x14ac:dyDescent="0.25"/>
    <row r="1038" ht="15.75" customHeight="1" x14ac:dyDescent="0.25"/>
    <row r="1039" ht="15.75" customHeight="1" x14ac:dyDescent="0.25"/>
    <row r="1040" ht="15.75" customHeight="1" x14ac:dyDescent="0.25"/>
    <row r="1041" ht="15.75" customHeight="1" x14ac:dyDescent="0.25"/>
    <row r="1042" ht="15.75" customHeight="1" x14ac:dyDescent="0.25"/>
    <row r="1043" ht="15.75" customHeight="1" x14ac:dyDescent="0.25"/>
    <row r="1044" ht="15.75" customHeight="1" x14ac:dyDescent="0.25"/>
    <row r="1045" ht="15.75" customHeight="1" x14ac:dyDescent="0.25"/>
    <row r="1046" ht="15.75" customHeight="1" x14ac:dyDescent="0.25"/>
    <row r="1047" ht="15.75" customHeight="1" x14ac:dyDescent="0.25"/>
    <row r="1048" ht="15.75" customHeight="1" x14ac:dyDescent="0.25"/>
    <row r="1049" ht="15.75" customHeight="1" x14ac:dyDescent="0.25"/>
    <row r="1050" ht="15.75" customHeight="1" x14ac:dyDescent="0.25"/>
    <row r="1051" ht="15.75" customHeight="1" x14ac:dyDescent="0.25"/>
    <row r="1052" ht="15.75" customHeight="1" x14ac:dyDescent="0.25"/>
    <row r="1053" ht="15.75" customHeight="1" x14ac:dyDescent="0.25"/>
    <row r="1054" ht="15.75" customHeight="1" x14ac:dyDescent="0.25"/>
    <row r="1055" ht="15.75" customHeight="1" x14ac:dyDescent="0.25"/>
    <row r="1056" ht="15.75" customHeight="1" x14ac:dyDescent="0.25"/>
    <row r="1057" ht="15.75" customHeight="1" x14ac:dyDescent="0.25"/>
    <row r="1058" ht="15.75" customHeight="1" x14ac:dyDescent="0.25"/>
    <row r="1059" ht="15.75" customHeight="1" x14ac:dyDescent="0.25"/>
    <row r="1060" ht="15.75" customHeight="1" x14ac:dyDescent="0.25"/>
    <row r="1061" ht="15.75" customHeight="1" x14ac:dyDescent="0.25"/>
    <row r="1062" ht="15.75" customHeight="1" x14ac:dyDescent="0.25"/>
    <row r="1063" ht="15.75" customHeight="1" x14ac:dyDescent="0.25"/>
    <row r="1064" ht="15.75" customHeight="1" x14ac:dyDescent="0.25"/>
    <row r="1065" ht="15.75" customHeight="1" x14ac:dyDescent="0.25"/>
    <row r="1066" ht="15.75" customHeight="1" x14ac:dyDescent="0.25"/>
    <row r="1067" ht="15.75" customHeight="1" x14ac:dyDescent="0.25"/>
    <row r="1068" ht="15.75" customHeight="1" x14ac:dyDescent="0.25"/>
    <row r="1069" ht="15.75" customHeight="1" x14ac:dyDescent="0.25"/>
    <row r="1070" ht="15.75" customHeight="1" x14ac:dyDescent="0.25"/>
    <row r="1071" ht="15.75" customHeight="1" x14ac:dyDescent="0.25"/>
    <row r="1072" ht="15.75" customHeight="1" x14ac:dyDescent="0.25"/>
    <row r="1073" ht="15.75" customHeight="1" x14ac:dyDescent="0.25"/>
    <row r="1074" ht="15.75" customHeight="1" x14ac:dyDescent="0.25"/>
    <row r="1075" ht="15.75" customHeight="1" x14ac:dyDescent="0.25"/>
    <row r="1076" ht="15.75" customHeight="1" x14ac:dyDescent="0.25"/>
    <row r="1077" ht="15.75" customHeight="1" x14ac:dyDescent="0.25"/>
    <row r="1078" ht="15.75" customHeight="1" x14ac:dyDescent="0.25"/>
    <row r="1079" ht="15.75" customHeight="1" x14ac:dyDescent="0.25"/>
    <row r="1080" ht="15.75" customHeight="1" x14ac:dyDescent="0.25"/>
    <row r="1081" ht="15.75" customHeight="1" x14ac:dyDescent="0.25"/>
    <row r="1082" ht="15.75" customHeight="1" x14ac:dyDescent="0.25"/>
    <row r="1083" ht="15.75" customHeight="1" x14ac:dyDescent="0.25"/>
    <row r="1084" ht="15.75" customHeight="1" x14ac:dyDescent="0.25"/>
    <row r="1085" ht="15.75" customHeight="1" x14ac:dyDescent="0.25"/>
    <row r="1086" ht="15.75" customHeight="1" x14ac:dyDescent="0.25"/>
    <row r="1087" ht="15.75" customHeight="1" x14ac:dyDescent="0.25"/>
    <row r="1088" ht="15.75" customHeight="1" x14ac:dyDescent="0.25"/>
    <row r="1089" ht="15.75" customHeight="1" x14ac:dyDescent="0.25"/>
    <row r="1090" ht="15.75" customHeight="1" x14ac:dyDescent="0.25"/>
    <row r="1091" ht="15.75" customHeight="1" x14ac:dyDescent="0.25"/>
    <row r="1092" ht="15.75" customHeight="1" x14ac:dyDescent="0.25"/>
    <row r="1093" ht="15.75" customHeight="1" x14ac:dyDescent="0.25"/>
    <row r="1094" ht="15.75" customHeight="1" x14ac:dyDescent="0.25"/>
    <row r="1095" ht="15.75" customHeight="1" x14ac:dyDescent="0.25"/>
    <row r="1096" ht="15.75" customHeight="1" x14ac:dyDescent="0.25"/>
    <row r="1097" ht="15.75" customHeight="1" x14ac:dyDescent="0.25"/>
    <row r="1098" ht="15.75" customHeight="1" x14ac:dyDescent="0.25"/>
    <row r="1099" ht="15.75" customHeight="1" x14ac:dyDescent="0.25"/>
    <row r="1100" ht="15.75" customHeight="1" x14ac:dyDescent="0.25"/>
    <row r="1101" ht="15.75" customHeight="1" x14ac:dyDescent="0.25"/>
    <row r="1102" ht="15.75" customHeight="1" x14ac:dyDescent="0.25"/>
    <row r="1103" ht="15.75" customHeight="1" x14ac:dyDescent="0.25"/>
    <row r="1104" ht="15.75" customHeight="1" x14ac:dyDescent="0.25"/>
    <row r="1105" ht="15.75" customHeight="1" x14ac:dyDescent="0.25"/>
    <row r="1106" ht="15.75" customHeight="1" x14ac:dyDescent="0.25"/>
    <row r="1107" ht="15.75" customHeight="1" x14ac:dyDescent="0.25"/>
    <row r="1108" ht="15.75" customHeight="1" x14ac:dyDescent="0.25"/>
    <row r="1109" ht="15.75" customHeight="1" x14ac:dyDescent="0.25"/>
    <row r="1110" ht="15.75" customHeight="1" x14ac:dyDescent="0.25"/>
    <row r="1111" ht="15.75" customHeight="1" x14ac:dyDescent="0.25"/>
    <row r="1112" ht="15.75" customHeight="1" x14ac:dyDescent="0.25"/>
    <row r="1113" ht="15.75" customHeight="1" x14ac:dyDescent="0.25"/>
    <row r="1114" ht="15.75" customHeight="1" x14ac:dyDescent="0.25"/>
    <row r="1115" ht="15.75" customHeight="1" x14ac:dyDescent="0.25"/>
    <row r="1116" ht="15.75" customHeight="1" x14ac:dyDescent="0.25"/>
    <row r="1117" ht="15.75" customHeight="1" x14ac:dyDescent="0.25"/>
    <row r="1118" ht="15.75" customHeight="1" x14ac:dyDescent="0.25"/>
    <row r="1119" ht="15.75" customHeight="1" x14ac:dyDescent="0.25"/>
    <row r="1120" ht="15.75" customHeight="1" x14ac:dyDescent="0.25"/>
    <row r="1121" ht="15.75" customHeight="1" x14ac:dyDescent="0.25"/>
    <row r="1122" ht="15.75" customHeight="1" x14ac:dyDescent="0.25"/>
    <row r="1123" ht="15.75" customHeight="1" x14ac:dyDescent="0.25"/>
    <row r="1124" ht="15.75" customHeight="1" x14ac:dyDescent="0.25"/>
    <row r="1125" ht="15.75" customHeight="1" x14ac:dyDescent="0.25"/>
    <row r="1126" ht="15.75" customHeight="1" x14ac:dyDescent="0.25"/>
    <row r="1127" ht="15.75" customHeight="1" x14ac:dyDescent="0.25"/>
    <row r="1128" ht="15.75" customHeight="1" x14ac:dyDescent="0.25"/>
    <row r="1129" ht="15.75" customHeight="1" x14ac:dyDescent="0.25"/>
    <row r="1130" ht="15.75" customHeight="1" x14ac:dyDescent="0.25"/>
    <row r="1131" ht="15.75" customHeight="1" x14ac:dyDescent="0.25"/>
    <row r="1132" ht="15.75" customHeight="1" x14ac:dyDescent="0.25"/>
    <row r="1133" ht="15.75" customHeight="1" x14ac:dyDescent="0.25"/>
    <row r="1134" ht="15.75" customHeight="1" x14ac:dyDescent="0.25"/>
    <row r="1135" ht="15.75" customHeight="1" x14ac:dyDescent="0.25"/>
    <row r="1136" ht="15.75" customHeight="1" x14ac:dyDescent="0.25"/>
    <row r="1137" ht="15.75" customHeight="1" x14ac:dyDescent="0.25"/>
    <row r="1138" ht="15.75" customHeight="1" x14ac:dyDescent="0.25"/>
  </sheetData>
  <mergeCells count="60">
    <mergeCell ref="B1:D1"/>
    <mergeCell ref="A3:F3"/>
    <mergeCell ref="A5:F5"/>
    <mergeCell ref="A6:B6"/>
    <mergeCell ref="A31:B31"/>
    <mergeCell ref="A7:F7"/>
    <mergeCell ref="A18:F18"/>
    <mergeCell ref="A20:F20"/>
    <mergeCell ref="A24:F24"/>
    <mergeCell ref="A78:F78"/>
    <mergeCell ref="A82:F82"/>
    <mergeCell ref="A89:B89"/>
    <mergeCell ref="A90:B90"/>
    <mergeCell ref="A92:F92"/>
    <mergeCell ref="C189:D189"/>
    <mergeCell ref="C183:F183"/>
    <mergeCell ref="C188:F188"/>
    <mergeCell ref="C181:D181"/>
    <mergeCell ref="C182:D182"/>
    <mergeCell ref="C184:D184"/>
    <mergeCell ref="C185:D185"/>
    <mergeCell ref="C187:D187"/>
    <mergeCell ref="A32:B32"/>
    <mergeCell ref="A34:F34"/>
    <mergeCell ref="A35:B35"/>
    <mergeCell ref="A36:F36"/>
    <mergeCell ref="A76:F76"/>
    <mergeCell ref="A47:F47"/>
    <mergeCell ref="A49:F49"/>
    <mergeCell ref="A53:F53"/>
    <mergeCell ref="A60:B60"/>
    <mergeCell ref="A61:B61"/>
    <mergeCell ref="A63:F63"/>
    <mergeCell ref="A64:B64"/>
    <mergeCell ref="A65:F65"/>
    <mergeCell ref="A93:B93"/>
    <mergeCell ref="A94:F94"/>
    <mergeCell ref="A105:F105"/>
    <mergeCell ref="A107:F107"/>
    <mergeCell ref="A111:F111"/>
    <mergeCell ref="A118:B118"/>
    <mergeCell ref="A119:B119"/>
    <mergeCell ref="A121:F121"/>
    <mergeCell ref="A122:B122"/>
    <mergeCell ref="A123:F123"/>
    <mergeCell ref="A134:F134"/>
    <mergeCell ref="A136:F136"/>
    <mergeCell ref="A140:F140"/>
    <mergeCell ref="A147:B147"/>
    <mergeCell ref="A148:B148"/>
    <mergeCell ref="A150:F150"/>
    <mergeCell ref="A176:B176"/>
    <mergeCell ref="A177:B177"/>
    <mergeCell ref="C186:D186"/>
    <mergeCell ref="A151:B151"/>
    <mergeCell ref="A152:F152"/>
    <mergeCell ref="A163:F163"/>
    <mergeCell ref="A165:F165"/>
    <mergeCell ref="A169:F169"/>
    <mergeCell ref="C180:E180"/>
  </mergeCells>
  <pageMargins left="0.511811024" right="0.511811024" top="0.78740157499999996" bottom="0.78740157499999996" header="0" footer="0"/>
  <pageSetup paperSize="9" scale="67" fitToHeight="0" orientation="portrait" r:id="rId1"/>
  <rowBreaks count="1" manualBreakCount="1">
    <brk id="90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'DADOS CCT'!$D$3:$XFD$3</xm:f>
          </x14:formula1>
          <xm:sqref>A3:F3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71"/>
  <sheetViews>
    <sheetView topLeftCell="A16" workbookViewId="0"/>
  </sheetViews>
  <sheetFormatPr defaultColWidth="8.85546875" defaultRowHeight="15" x14ac:dyDescent="0.25"/>
  <cols>
    <col min="1" max="1" width="18.7109375" style="118" customWidth="1"/>
    <col min="2" max="2" width="65.85546875" bestFit="1" customWidth="1"/>
    <col min="3" max="3" width="8.85546875" style="118"/>
    <col min="4" max="4" width="13.140625" bestFit="1" customWidth="1"/>
    <col min="5" max="5" width="16.28515625" customWidth="1"/>
    <col min="6" max="6" width="14.85546875" bestFit="1" customWidth="1"/>
    <col min="7" max="7" width="14.28515625" bestFit="1" customWidth="1"/>
  </cols>
  <sheetData>
    <row r="2" spans="1:7" s="119" customFormat="1" x14ac:dyDescent="0.25">
      <c r="A2" s="377" t="s">
        <v>54</v>
      </c>
      <c r="B2" s="343" t="s">
        <v>39</v>
      </c>
      <c r="C2" s="378" t="s">
        <v>1069</v>
      </c>
      <c r="D2" s="343" t="s">
        <v>59</v>
      </c>
      <c r="E2" s="343" t="s">
        <v>5</v>
      </c>
      <c r="F2" s="343" t="s">
        <v>6</v>
      </c>
      <c r="G2" s="343" t="s">
        <v>7</v>
      </c>
    </row>
    <row r="3" spans="1:7" s="119" customFormat="1" x14ac:dyDescent="0.25">
      <c r="A3" s="438" t="s">
        <v>52</v>
      </c>
      <c r="B3" s="371" t="str">
        <f>RESUMO!B8</f>
        <v>1.1 Pisos frios/vinílicos - Salas de Aula</v>
      </c>
      <c r="C3" s="366">
        <v>25194</v>
      </c>
      <c r="D3" s="370">
        <f>RESUMO!C8</f>
        <v>43550.999999999993</v>
      </c>
      <c r="E3" s="370">
        <f ca="1">RESUMO!D8</f>
        <v>7.8</v>
      </c>
      <c r="F3" s="370">
        <f ca="1">D3*E3</f>
        <v>339697.79999999993</v>
      </c>
      <c r="G3" s="370">
        <f ca="1">F3*12</f>
        <v>4076373.5999999992</v>
      </c>
    </row>
    <row r="4" spans="1:7" s="119" customFormat="1" x14ac:dyDescent="0.25">
      <c r="A4" s="438"/>
      <c r="B4" s="371" t="str">
        <f>RESUMO!B9</f>
        <v>1.2 Pisos frios/vinílicos - Administrativo</v>
      </c>
      <c r="C4" s="366">
        <v>25194</v>
      </c>
      <c r="D4" s="370">
        <f>RESUMO!C9</f>
        <v>67607.689999999988</v>
      </c>
      <c r="E4" s="370">
        <f ca="1">RESUMO!D9</f>
        <v>3.12</v>
      </c>
      <c r="F4" s="370">
        <f t="shared" ref="F4:F22" ca="1" si="0">D4*E4</f>
        <v>210935.99279999998</v>
      </c>
      <c r="G4" s="370">
        <f t="shared" ref="G4:G23" ca="1" si="1">F4*12</f>
        <v>2531231.9135999996</v>
      </c>
    </row>
    <row r="5" spans="1:7" s="119" customFormat="1" x14ac:dyDescent="0.25">
      <c r="A5" s="438"/>
      <c r="B5" s="371" t="str">
        <f>RESUMO!B10</f>
        <v>1.3 Pisos frios/vinílicos - Auditório</v>
      </c>
      <c r="C5" s="366">
        <v>25194</v>
      </c>
      <c r="D5" s="370">
        <f>RESUMO!C10</f>
        <v>3956.46</v>
      </c>
      <c r="E5" s="370">
        <f ca="1">RESUMO!D10</f>
        <v>3.12</v>
      </c>
      <c r="F5" s="370">
        <f t="shared" ca="1" si="0"/>
        <v>12344.155200000001</v>
      </c>
      <c r="G5" s="370">
        <f t="shared" ca="1" si="1"/>
        <v>148129.86240000001</v>
      </c>
    </row>
    <row r="6" spans="1:7" s="119" customFormat="1" x14ac:dyDescent="0.25">
      <c r="A6" s="438"/>
      <c r="B6" s="371" t="str">
        <f>RESUMO!B11</f>
        <v>1.4 Pisos acarpetados - Administrativo</v>
      </c>
      <c r="C6" s="366">
        <v>25194</v>
      </c>
      <c r="D6" s="370">
        <f>RESUMO!C11</f>
        <v>157.61000000000001</v>
      </c>
      <c r="E6" s="370">
        <f ca="1">RESUMO!D11</f>
        <v>3.12</v>
      </c>
      <c r="F6" s="370">
        <f t="shared" ca="1" si="0"/>
        <v>491.74320000000006</v>
      </c>
      <c r="G6" s="370">
        <f t="shared" ca="1" si="1"/>
        <v>5900.9184000000005</v>
      </c>
    </row>
    <row r="7" spans="1:7" s="119" customFormat="1" x14ac:dyDescent="0.25">
      <c r="A7" s="438"/>
      <c r="B7" s="371" t="str">
        <f>RESUMO!B12</f>
        <v>1.5 Pisos acarpetados - Auditório</v>
      </c>
      <c r="C7" s="366">
        <v>25194</v>
      </c>
      <c r="D7" s="370">
        <f>RESUMO!C12</f>
        <v>3928.5300000000007</v>
      </c>
      <c r="E7" s="370">
        <f ca="1">RESUMO!D12</f>
        <v>3.12</v>
      </c>
      <c r="F7" s="370">
        <f t="shared" ca="1" si="0"/>
        <v>12257.013600000002</v>
      </c>
      <c r="G7" s="370">
        <f t="shared" ca="1" si="1"/>
        <v>147084.16320000001</v>
      </c>
    </row>
    <row r="8" spans="1:7" s="119" customFormat="1" x14ac:dyDescent="0.25">
      <c r="A8" s="438"/>
      <c r="B8" s="371" t="str">
        <f>RESUMO!B13</f>
        <v>1.6 Laboratórios</v>
      </c>
      <c r="C8" s="366">
        <v>25194</v>
      </c>
      <c r="D8" s="370">
        <f>RESUMO!C13</f>
        <v>49260.859999999993</v>
      </c>
      <c r="E8" s="370">
        <f ca="1">RESUMO!D13</f>
        <v>8.5</v>
      </c>
      <c r="F8" s="370">
        <f t="shared" ca="1" si="0"/>
        <v>418717.30999999994</v>
      </c>
      <c r="G8" s="370">
        <f t="shared" ca="1" si="1"/>
        <v>5024607.7199999988</v>
      </c>
    </row>
    <row r="9" spans="1:7" s="119" customFormat="1" x14ac:dyDescent="0.25">
      <c r="A9" s="438"/>
      <c r="B9" s="371" t="str">
        <f>RESUMO!B14</f>
        <v>1.7 Almoxarifados/Galpões</v>
      </c>
      <c r="C9" s="366">
        <v>25194</v>
      </c>
      <c r="D9" s="370">
        <f>RESUMO!C14</f>
        <v>8837.44</v>
      </c>
      <c r="E9" s="370">
        <f ca="1">RESUMO!D14</f>
        <v>0.69</v>
      </c>
      <c r="F9" s="370">
        <f t="shared" ca="1" si="0"/>
        <v>6097.8335999999999</v>
      </c>
      <c r="G9" s="370">
        <f t="shared" ca="1" si="1"/>
        <v>73174.003200000006</v>
      </c>
    </row>
    <row r="10" spans="1:7" s="119" customFormat="1" x14ac:dyDescent="0.25">
      <c r="A10" s="438"/>
      <c r="B10" s="371" t="str">
        <f>RESUMO!B15</f>
        <v>1.8 Oficinas, estufas e viveiros</v>
      </c>
      <c r="C10" s="366">
        <v>25194</v>
      </c>
      <c r="D10" s="370">
        <f>RESUMO!C15</f>
        <v>6678.2500000000009</v>
      </c>
      <c r="E10" s="370">
        <f ca="1">RESUMO!D15</f>
        <v>0.78</v>
      </c>
      <c r="F10" s="370">
        <f t="shared" ca="1" si="0"/>
        <v>5209.0350000000008</v>
      </c>
      <c r="G10" s="370">
        <f t="shared" ca="1" si="1"/>
        <v>62508.420000000013</v>
      </c>
    </row>
    <row r="11" spans="1:7" s="119" customFormat="1" x14ac:dyDescent="0.25">
      <c r="A11" s="438"/>
      <c r="B11" s="371" t="str">
        <f>RESUMO!B16</f>
        <v>1.9 Áreas com espaços livres (circulação, hall, saguão)</v>
      </c>
      <c r="C11" s="366">
        <v>25194</v>
      </c>
      <c r="D11" s="370">
        <f>RESUMO!C16</f>
        <v>68712.830000000016</v>
      </c>
      <c r="E11" s="370">
        <f ca="1">RESUMO!D16</f>
        <v>2.34</v>
      </c>
      <c r="F11" s="370">
        <f t="shared" ca="1" si="0"/>
        <v>160788.02220000004</v>
      </c>
      <c r="G11" s="370">
        <f t="shared" ca="1" si="1"/>
        <v>1929456.2664000005</v>
      </c>
    </row>
    <row r="12" spans="1:7" x14ac:dyDescent="0.25">
      <c r="A12" s="438"/>
      <c r="B12" s="371" t="str">
        <f>RESUMO!B17</f>
        <v>1.10 Banheiros</v>
      </c>
      <c r="C12" s="366">
        <v>25194</v>
      </c>
      <c r="D12" s="370">
        <f>RESUMO!C17</f>
        <v>11223.899999999996</v>
      </c>
      <c r="E12" s="370">
        <f ca="1">RESUMO!D17</f>
        <v>45.35</v>
      </c>
      <c r="F12" s="370">
        <f t="shared" ca="1" si="0"/>
        <v>509003.86499999982</v>
      </c>
      <c r="G12" s="370">
        <f t="shared" ca="1" si="1"/>
        <v>6108046.379999998</v>
      </c>
    </row>
    <row r="13" spans="1:7" x14ac:dyDescent="0.25">
      <c r="A13" s="438"/>
      <c r="B13" s="368" t="str">
        <f>RESUMO!B19</f>
        <v>2.1 Pisos pavimentados contíguos às edificações</v>
      </c>
      <c r="C13" s="366">
        <v>25194</v>
      </c>
      <c r="D13" s="367">
        <f>RESUMO!C19</f>
        <v>10746.310000000001</v>
      </c>
      <c r="E13" s="367">
        <f ca="1">RESUMO!D19</f>
        <v>0.78</v>
      </c>
      <c r="F13" s="370">
        <f t="shared" ca="1" si="0"/>
        <v>8382.1218000000008</v>
      </c>
      <c r="G13" s="370">
        <f t="shared" ca="1" si="1"/>
        <v>100585.46160000001</v>
      </c>
    </row>
    <row r="14" spans="1:7" x14ac:dyDescent="0.25">
      <c r="A14" s="438"/>
      <c r="B14" s="368" t="str">
        <f>RESUMO!B21</f>
        <v>3.1 Vidros e esquadrias - Face interna</v>
      </c>
      <c r="C14" s="366">
        <v>25194</v>
      </c>
      <c r="D14" s="367">
        <f>RESUMO!C21</f>
        <v>55187.589999999982</v>
      </c>
      <c r="E14" s="367">
        <f ca="1">RESUMO!D21</f>
        <v>0.17</v>
      </c>
      <c r="F14" s="370">
        <f t="shared" ca="1" si="0"/>
        <v>9381.8902999999973</v>
      </c>
      <c r="G14" s="370">
        <f t="shared" ca="1" si="1"/>
        <v>112582.68359999996</v>
      </c>
    </row>
    <row r="15" spans="1:7" x14ac:dyDescent="0.25">
      <c r="A15" s="438"/>
      <c r="B15" s="368" t="str">
        <f>RESUMO!B22</f>
        <v>3.2 Vidros e esquadrias - Face externa com exposição a situação de risco</v>
      </c>
      <c r="C15" s="366">
        <v>25194</v>
      </c>
      <c r="D15" s="367">
        <f>RESUMO!C22</f>
        <v>54917.399999999994</v>
      </c>
      <c r="E15" s="367">
        <f ca="1">RESUMO!D22</f>
        <v>0.4</v>
      </c>
      <c r="F15" s="370">
        <f t="shared" ca="1" si="0"/>
        <v>21966.959999999999</v>
      </c>
      <c r="G15" s="370">
        <f t="shared" ca="1" si="1"/>
        <v>263603.52</v>
      </c>
    </row>
    <row r="16" spans="1:7" x14ac:dyDescent="0.25">
      <c r="A16" s="438"/>
      <c r="B16" s="368" t="str">
        <f>RESUMO!B23</f>
        <v>3.3 Fachadas externas com exposição a situação de risco</v>
      </c>
      <c r="C16" s="366">
        <v>25194</v>
      </c>
      <c r="D16" s="367">
        <f>RESUMO!C23</f>
        <v>4190</v>
      </c>
      <c r="E16" s="367">
        <f ca="1">RESUMO!D23</f>
        <v>0.4</v>
      </c>
      <c r="F16" s="370">
        <f t="shared" ca="1" si="0"/>
        <v>1676</v>
      </c>
      <c r="G16" s="370">
        <f t="shared" ca="1" si="1"/>
        <v>20112</v>
      </c>
    </row>
    <row r="17" spans="1:7" x14ac:dyDescent="0.25">
      <c r="A17" s="438"/>
      <c r="B17" s="368" t="str">
        <f>RESUMO!B25</f>
        <v>4.1 Servente de Limpeza</v>
      </c>
      <c r="C17" s="366">
        <v>25194</v>
      </c>
      <c r="D17" s="367">
        <f>RESUMO!C25</f>
        <v>10</v>
      </c>
      <c r="E17" s="367">
        <f ca="1">RESUMO!D25</f>
        <v>5073.5200000000004</v>
      </c>
      <c r="F17" s="370">
        <f t="shared" ca="1" si="0"/>
        <v>50735.200000000004</v>
      </c>
      <c r="G17" s="370">
        <f t="shared" ca="1" si="1"/>
        <v>608822.4</v>
      </c>
    </row>
    <row r="18" spans="1:7" x14ac:dyDescent="0.25">
      <c r="A18" s="438"/>
      <c r="B18" s="368" t="str">
        <f>RESUMO!B26</f>
        <v>4.2 Auxiliar de Limpeza - Banheiros</v>
      </c>
      <c r="C18" s="366">
        <v>25194</v>
      </c>
      <c r="D18" s="367">
        <f>RESUMO!C26</f>
        <v>16</v>
      </c>
      <c r="E18" s="367">
        <f ca="1">RESUMO!D26</f>
        <v>5816.54</v>
      </c>
      <c r="F18" s="370">
        <f t="shared" ca="1" si="0"/>
        <v>93064.639999999999</v>
      </c>
      <c r="G18" s="370">
        <f t="shared" ca="1" si="1"/>
        <v>1116775.68</v>
      </c>
    </row>
    <row r="19" spans="1:7" x14ac:dyDescent="0.25">
      <c r="A19" s="438"/>
      <c r="B19" s="368" t="str">
        <f>RESUMO!B27</f>
        <v>4.3 Auxiliar de Limpeza - Hospitalar</v>
      </c>
      <c r="C19" s="366">
        <v>25194</v>
      </c>
      <c r="D19" s="367">
        <f>RESUMO!C27</f>
        <v>25</v>
      </c>
      <c r="E19" s="367">
        <f ca="1">RESUMO!D27</f>
        <v>6143.08</v>
      </c>
      <c r="F19" s="370">
        <f t="shared" ca="1" si="0"/>
        <v>153577</v>
      </c>
      <c r="G19" s="370">
        <f t="shared" ca="1" si="1"/>
        <v>1842924</v>
      </c>
    </row>
    <row r="20" spans="1:7" x14ac:dyDescent="0.25">
      <c r="A20" s="438"/>
      <c r="B20" s="368" t="str">
        <f>RESUMO!B28</f>
        <v>4.4 Limpador de Piscina</v>
      </c>
      <c r="C20" s="366">
        <v>25194</v>
      </c>
      <c r="D20" s="367">
        <f>RESUMO!C28</f>
        <v>1</v>
      </c>
      <c r="E20" s="367">
        <f ca="1">RESUMO!D28</f>
        <v>5073.5200000000004</v>
      </c>
      <c r="F20" s="370">
        <f t="shared" ca="1" si="0"/>
        <v>5073.5200000000004</v>
      </c>
      <c r="G20" s="370">
        <f t="shared" ca="1" si="1"/>
        <v>60882.240000000005</v>
      </c>
    </row>
    <row r="21" spans="1:7" x14ac:dyDescent="0.25">
      <c r="A21" s="438"/>
      <c r="B21" s="368" t="str">
        <f>RESUMO!B29</f>
        <v>4.5 Agente de Coleta de Lixo</v>
      </c>
      <c r="C21" s="366">
        <v>25194</v>
      </c>
      <c r="D21" s="367">
        <f>RESUMO!C29</f>
        <v>3</v>
      </c>
      <c r="E21" s="367">
        <f ca="1">RESUMO!D29</f>
        <v>7092.57</v>
      </c>
      <c r="F21" s="370">
        <f t="shared" ca="1" si="0"/>
        <v>21277.71</v>
      </c>
      <c r="G21" s="370">
        <f t="shared" ca="1" si="1"/>
        <v>255332.52</v>
      </c>
    </row>
    <row r="22" spans="1:7" x14ac:dyDescent="0.25">
      <c r="A22" s="438"/>
      <c r="B22" s="368" t="str">
        <f>RESUMO!B30</f>
        <v>4.6 Coletor de Resíduos da Saúde</v>
      </c>
      <c r="C22" s="366">
        <v>25194</v>
      </c>
      <c r="D22" s="367">
        <f>RESUMO!C30</f>
        <v>2</v>
      </c>
      <c r="E22" s="367">
        <f ca="1">RESUMO!D30</f>
        <v>7092.57</v>
      </c>
      <c r="F22" s="370">
        <f t="shared" ca="1" si="0"/>
        <v>14185.14</v>
      </c>
      <c r="G22" s="370">
        <f t="shared" ca="1" si="1"/>
        <v>170221.68</v>
      </c>
    </row>
    <row r="23" spans="1:7" x14ac:dyDescent="0.25">
      <c r="A23" s="438"/>
      <c r="B23" s="368" t="s">
        <v>1192</v>
      </c>
      <c r="C23" s="366">
        <v>25194</v>
      </c>
      <c r="D23" s="443" t="s">
        <v>612</v>
      </c>
      <c r="E23" s="443"/>
      <c r="F23" s="367">
        <f>RESUMO!E186</f>
        <v>150014.64087896253</v>
      </c>
      <c r="G23" s="372">
        <f t="shared" si="1"/>
        <v>1800175.6905475503</v>
      </c>
    </row>
    <row r="24" spans="1:7" x14ac:dyDescent="0.25">
      <c r="A24" s="438" t="s">
        <v>49</v>
      </c>
      <c r="B24" s="368" t="str">
        <f>RESUMO!B37</f>
        <v>1.1 Pisos frios/vinílicos - Salas de Aula</v>
      </c>
      <c r="C24" s="366">
        <v>8729</v>
      </c>
      <c r="D24" s="367">
        <f>RESUMO!C37</f>
        <v>2439.4300000000003</v>
      </c>
      <c r="E24" s="367">
        <f ca="1">RESUMO!D37</f>
        <v>7.73</v>
      </c>
      <c r="F24" s="367">
        <f t="shared" ref="F24" ca="1" si="2">D24*E24</f>
        <v>18856.793900000004</v>
      </c>
      <c r="G24" s="372">
        <f t="shared" ref="G24" ca="1" si="3">F24*12</f>
        <v>226281.52680000005</v>
      </c>
    </row>
    <row r="25" spans="1:7" x14ac:dyDescent="0.25">
      <c r="A25" s="438"/>
      <c r="B25" s="368" t="str">
        <f>RESUMO!B38</f>
        <v>1.2 Pisos frios/vinílicos - Administrativo</v>
      </c>
      <c r="C25" s="366">
        <v>25194</v>
      </c>
      <c r="D25" s="367">
        <f>RESUMO!C38</f>
        <v>2181.3099999999995</v>
      </c>
      <c r="E25" s="367">
        <f ca="1">RESUMO!D38</f>
        <v>2.81</v>
      </c>
      <c r="F25" s="367">
        <f t="shared" ref="F25:F38" ca="1" si="4">D25*E25</f>
        <v>6129.4810999999991</v>
      </c>
      <c r="G25" s="372">
        <f t="shared" ref="G25:G38" ca="1" si="5">F25*12</f>
        <v>73553.773199999996</v>
      </c>
    </row>
    <row r="26" spans="1:7" hidden="1" x14ac:dyDescent="0.25">
      <c r="A26" s="438"/>
      <c r="B26" s="368" t="str">
        <f>RESUMO!B39</f>
        <v>1.3 Pisos frios/vinílicos - Auditório</v>
      </c>
      <c r="C26" s="366">
        <v>25194</v>
      </c>
      <c r="D26" s="367">
        <f>RESUMO!C39</f>
        <v>0</v>
      </c>
      <c r="E26" s="367">
        <f>RESUMO!D39</f>
        <v>0</v>
      </c>
      <c r="F26" s="367">
        <f t="shared" si="4"/>
        <v>0</v>
      </c>
      <c r="G26" s="372">
        <f t="shared" si="5"/>
        <v>0</v>
      </c>
    </row>
    <row r="27" spans="1:7" hidden="1" x14ac:dyDescent="0.25">
      <c r="A27" s="438"/>
      <c r="B27" s="368" t="str">
        <f>RESUMO!B40</f>
        <v>1.4 Pisos acarpetados - Administrativo</v>
      </c>
      <c r="C27" s="366">
        <v>25194</v>
      </c>
      <c r="D27" s="367">
        <f>RESUMO!C40</f>
        <v>0</v>
      </c>
      <c r="E27" s="367">
        <f>RESUMO!D40</f>
        <v>0</v>
      </c>
      <c r="F27" s="367">
        <f t="shared" si="4"/>
        <v>0</v>
      </c>
      <c r="G27" s="372">
        <f t="shared" si="5"/>
        <v>0</v>
      </c>
    </row>
    <row r="28" spans="1:7" hidden="1" x14ac:dyDescent="0.25">
      <c r="A28" s="438"/>
      <c r="B28" s="368" t="str">
        <f>RESUMO!B41</f>
        <v>1.5 Pisos acarpetados - Auditório</v>
      </c>
      <c r="C28" s="366">
        <v>25194</v>
      </c>
      <c r="D28" s="367">
        <f>RESUMO!C41</f>
        <v>0</v>
      </c>
      <c r="E28" s="367">
        <f>RESUMO!D41</f>
        <v>0</v>
      </c>
      <c r="F28" s="367">
        <f t="shared" si="4"/>
        <v>0</v>
      </c>
      <c r="G28" s="372">
        <f t="shared" si="5"/>
        <v>0</v>
      </c>
    </row>
    <row r="29" spans="1:7" x14ac:dyDescent="0.25">
      <c r="A29" s="438"/>
      <c r="B29" s="368" t="str">
        <f>RESUMO!B42</f>
        <v>1.6 Laboratórios</v>
      </c>
      <c r="C29" s="366">
        <v>25194</v>
      </c>
      <c r="D29" s="367">
        <f>RESUMO!C42</f>
        <v>1431.92</v>
      </c>
      <c r="E29" s="367">
        <f ca="1">RESUMO!D42</f>
        <v>7.66</v>
      </c>
      <c r="F29" s="367">
        <f t="shared" ca="1" si="4"/>
        <v>10968.5072</v>
      </c>
      <c r="G29" s="372">
        <f t="shared" ca="1" si="5"/>
        <v>131622.0864</v>
      </c>
    </row>
    <row r="30" spans="1:7" x14ac:dyDescent="0.25">
      <c r="A30" s="438"/>
      <c r="B30" s="368" t="str">
        <f>RESUMO!B43</f>
        <v>1.7 Almoxarifados/Galpões</v>
      </c>
      <c r="C30" s="366">
        <v>25194</v>
      </c>
      <c r="D30" s="367">
        <f>RESUMO!C43</f>
        <v>621.42999999999995</v>
      </c>
      <c r="E30" s="367">
        <f ca="1">RESUMO!D43</f>
        <v>0.62</v>
      </c>
      <c r="F30" s="367">
        <f t="shared" ca="1" si="4"/>
        <v>385.28659999999996</v>
      </c>
      <c r="G30" s="372">
        <f t="shared" ca="1" si="5"/>
        <v>4623.4391999999998</v>
      </c>
    </row>
    <row r="31" spans="1:7" x14ac:dyDescent="0.25">
      <c r="A31" s="438"/>
      <c r="B31" s="368" t="str">
        <f>RESUMO!B44</f>
        <v>1.8 Oficinas, estufas e viveiros</v>
      </c>
      <c r="C31" s="366">
        <v>25194</v>
      </c>
      <c r="D31" s="367">
        <f>RESUMO!C44</f>
        <v>27</v>
      </c>
      <c r="E31" s="367">
        <f ca="1">RESUMO!D44</f>
        <v>0.7</v>
      </c>
      <c r="F31" s="367">
        <f t="shared" ca="1" si="4"/>
        <v>18.899999999999999</v>
      </c>
      <c r="G31" s="372">
        <f t="shared" ca="1" si="5"/>
        <v>226.79999999999998</v>
      </c>
    </row>
    <row r="32" spans="1:7" x14ac:dyDescent="0.25">
      <c r="A32" s="438"/>
      <c r="B32" s="368" t="str">
        <f>RESUMO!B45</f>
        <v>1.9 Áreas com espaços livres (circulação, hall, saguão)</v>
      </c>
      <c r="C32" s="366">
        <v>25194</v>
      </c>
      <c r="D32" s="367">
        <f>RESUMO!C45</f>
        <v>3414.6399999999994</v>
      </c>
      <c r="E32" s="367">
        <f ca="1">RESUMO!D45</f>
        <v>2.1</v>
      </c>
      <c r="F32" s="367">
        <f t="shared" ca="1" si="4"/>
        <v>7170.7439999999988</v>
      </c>
      <c r="G32" s="372">
        <f t="shared" ca="1" si="5"/>
        <v>86048.927999999985</v>
      </c>
    </row>
    <row r="33" spans="1:7" x14ac:dyDescent="0.25">
      <c r="A33" s="438"/>
      <c r="B33" s="368" t="str">
        <f>RESUMO!B46</f>
        <v>1.10 Banheiros</v>
      </c>
      <c r="C33" s="366">
        <v>25194</v>
      </c>
      <c r="D33" s="367">
        <f>RESUMO!C46</f>
        <v>615.54</v>
      </c>
      <c r="E33" s="367">
        <f ca="1">RESUMO!D46</f>
        <v>40.85</v>
      </c>
      <c r="F33" s="367">
        <f t="shared" ca="1" si="4"/>
        <v>25144.809000000001</v>
      </c>
      <c r="G33" s="372">
        <f t="shared" ca="1" si="5"/>
        <v>301737.70799999998</v>
      </c>
    </row>
    <row r="34" spans="1:7" x14ac:dyDescent="0.25">
      <c r="A34" s="438"/>
      <c r="B34" s="112" t="str">
        <f>RESUMO!B48</f>
        <v>2.1 Pisos pavimentados contíguos às edificações</v>
      </c>
      <c r="C34" s="366">
        <v>25194</v>
      </c>
      <c r="D34" s="373">
        <f>RESUMO!C48</f>
        <v>3174.0200000000004</v>
      </c>
      <c r="E34" s="373">
        <f ca="1">RESUMO!D48</f>
        <v>0.7</v>
      </c>
      <c r="F34" s="367">
        <f t="shared" ca="1" si="4"/>
        <v>2221.8140000000003</v>
      </c>
      <c r="G34" s="372">
        <f t="shared" ca="1" si="5"/>
        <v>26661.768000000004</v>
      </c>
    </row>
    <row r="35" spans="1:7" x14ac:dyDescent="0.25">
      <c r="A35" s="438"/>
      <c r="B35" s="112" t="str">
        <f>RESUMO!B50</f>
        <v>3.1 Vidros e esquadrias - Face interna</v>
      </c>
      <c r="C35" s="366">
        <v>25194</v>
      </c>
      <c r="D35" s="373">
        <f>RESUMO!C50</f>
        <v>2079.8099999999995</v>
      </c>
      <c r="E35" s="373">
        <f ca="1">RESUMO!D50</f>
        <v>0.17</v>
      </c>
      <c r="F35" s="367">
        <f t="shared" ca="1" si="4"/>
        <v>353.56769999999995</v>
      </c>
      <c r="G35" s="372">
        <f t="shared" ca="1" si="5"/>
        <v>4242.8123999999989</v>
      </c>
    </row>
    <row r="36" spans="1:7" x14ac:dyDescent="0.25">
      <c r="A36" s="438"/>
      <c r="B36" s="112" t="str">
        <f>RESUMO!B51</f>
        <v>3.2 Vidros e esquadrias - Face externa com exposição a situação de risco</v>
      </c>
      <c r="C36" s="366">
        <v>25194</v>
      </c>
      <c r="D36" s="373">
        <f>RESUMO!C51</f>
        <v>2079.8099999999995</v>
      </c>
      <c r="E36" s="373">
        <f ca="1">RESUMO!D51</f>
        <v>0.4</v>
      </c>
      <c r="F36" s="367">
        <f t="shared" ca="1" si="4"/>
        <v>831.92399999999986</v>
      </c>
      <c r="G36" s="372">
        <f t="shared" ca="1" si="5"/>
        <v>9983.0879999999979</v>
      </c>
    </row>
    <row r="37" spans="1:7" hidden="1" x14ac:dyDescent="0.25">
      <c r="A37" s="438"/>
      <c r="B37" s="112" t="str">
        <f>RESUMO!B52</f>
        <v>3.3 Fachadas externas com exposição a situação de risco</v>
      </c>
      <c r="C37" s="366">
        <v>25194</v>
      </c>
      <c r="D37" s="373">
        <f>RESUMO!C52</f>
        <v>0</v>
      </c>
      <c r="E37" s="373">
        <f>RESUMO!D52</f>
        <v>0</v>
      </c>
      <c r="F37" s="367">
        <f t="shared" si="4"/>
        <v>0</v>
      </c>
      <c r="G37" s="372">
        <f t="shared" si="5"/>
        <v>0</v>
      </c>
    </row>
    <row r="38" spans="1:7" x14ac:dyDescent="0.25">
      <c r="A38" s="438"/>
      <c r="B38" s="112" t="str">
        <f>RESUMO!B55</f>
        <v>4.2 Auxiliar de Limpeza - Banheiros</v>
      </c>
      <c r="C38" s="366">
        <v>25194</v>
      </c>
      <c r="D38" s="373">
        <f>RESUMO!C55</f>
        <v>1</v>
      </c>
      <c r="E38" s="373">
        <f ca="1">RESUMO!D55</f>
        <v>5805.53</v>
      </c>
      <c r="F38" s="367">
        <f t="shared" ca="1" si="4"/>
        <v>5805.53</v>
      </c>
      <c r="G38" s="372">
        <f t="shared" ca="1" si="5"/>
        <v>69666.36</v>
      </c>
    </row>
    <row r="39" spans="1:7" x14ac:dyDescent="0.25">
      <c r="A39" s="438" t="s">
        <v>50</v>
      </c>
      <c r="B39" s="112" t="str">
        <f>RESUMO!B66</f>
        <v>1.1 Pisos frios/vinílicos - Salas de Aula</v>
      </c>
      <c r="C39" s="366">
        <v>25194</v>
      </c>
      <c r="D39" s="373">
        <f>RESUMO!C66</f>
        <v>2030.05</v>
      </c>
      <c r="E39" s="373">
        <f ca="1">RESUMO!D66</f>
        <v>7.46</v>
      </c>
      <c r="F39" s="367">
        <f t="shared" ref="F39:F52" ca="1" si="6">D39*E39</f>
        <v>15144.172999999999</v>
      </c>
      <c r="G39" s="372">
        <f t="shared" ref="G39:G52" ca="1" si="7">F39*12</f>
        <v>181730.076</v>
      </c>
    </row>
    <row r="40" spans="1:7" x14ac:dyDescent="0.25">
      <c r="A40" s="439"/>
      <c r="B40" s="112" t="str">
        <f>RESUMO!B67</f>
        <v>1.2 Pisos frios/vinílicos - Administrativo</v>
      </c>
      <c r="C40" s="366">
        <v>25194</v>
      </c>
      <c r="D40" s="373">
        <f>RESUMO!C67</f>
        <v>3020.1499999999996</v>
      </c>
      <c r="E40" s="373">
        <f ca="1">RESUMO!D67</f>
        <v>2.71</v>
      </c>
      <c r="F40" s="367">
        <f t="shared" ca="1" si="6"/>
        <v>8184.606499999999</v>
      </c>
      <c r="G40" s="372">
        <f t="shared" ca="1" si="7"/>
        <v>98215.277999999991</v>
      </c>
    </row>
    <row r="41" spans="1:7" hidden="1" x14ac:dyDescent="0.25">
      <c r="A41" s="439"/>
      <c r="B41" s="112" t="str">
        <f>RESUMO!B68</f>
        <v>1.3 Pisos frios/vinílicos - Auditório</v>
      </c>
      <c r="C41" s="366">
        <v>25194</v>
      </c>
      <c r="D41" s="373">
        <f>RESUMO!C68</f>
        <v>0</v>
      </c>
      <c r="E41" s="373">
        <f>RESUMO!D68</f>
        <v>0</v>
      </c>
      <c r="F41" s="367">
        <f t="shared" si="6"/>
        <v>0</v>
      </c>
      <c r="G41" s="372">
        <f t="shared" si="7"/>
        <v>0</v>
      </c>
    </row>
    <row r="42" spans="1:7" hidden="1" x14ac:dyDescent="0.25">
      <c r="A42" s="439"/>
      <c r="B42" s="112" t="str">
        <f>RESUMO!B69</f>
        <v>1.4 Pisos acarpetados - Administrativo</v>
      </c>
      <c r="C42" s="366">
        <v>25194</v>
      </c>
      <c r="D42" s="373">
        <f>RESUMO!C69</f>
        <v>0</v>
      </c>
      <c r="E42" s="373">
        <f>RESUMO!D69</f>
        <v>0</v>
      </c>
      <c r="F42" s="367">
        <f t="shared" si="6"/>
        <v>0</v>
      </c>
      <c r="G42" s="372">
        <f t="shared" si="7"/>
        <v>0</v>
      </c>
    </row>
    <row r="43" spans="1:7" hidden="1" x14ac:dyDescent="0.25">
      <c r="A43" s="439"/>
      <c r="B43" s="112" t="str">
        <f>RESUMO!B70</f>
        <v>1.5 Pisos acarpetados - Auditório</v>
      </c>
      <c r="C43" s="366">
        <v>25194</v>
      </c>
      <c r="D43" s="373">
        <f>RESUMO!C70</f>
        <v>0</v>
      </c>
      <c r="E43" s="373">
        <f>RESUMO!D70</f>
        <v>0</v>
      </c>
      <c r="F43" s="367">
        <f t="shared" si="6"/>
        <v>0</v>
      </c>
      <c r="G43" s="372">
        <f t="shared" si="7"/>
        <v>0</v>
      </c>
    </row>
    <row r="44" spans="1:7" x14ac:dyDescent="0.25">
      <c r="A44" s="439"/>
      <c r="B44" s="112" t="str">
        <f>RESUMO!B71</f>
        <v>1.6 Laboratórios</v>
      </c>
      <c r="C44" s="366">
        <v>25194</v>
      </c>
      <c r="D44" s="373">
        <f>RESUMO!C71</f>
        <v>2434.0300000000002</v>
      </c>
      <c r="E44" s="373">
        <f ca="1">RESUMO!D71</f>
        <v>7.39</v>
      </c>
      <c r="F44" s="367">
        <f t="shared" ca="1" si="6"/>
        <v>17987.4817</v>
      </c>
      <c r="G44" s="372">
        <f t="shared" ca="1" si="7"/>
        <v>215849.78039999999</v>
      </c>
    </row>
    <row r="45" spans="1:7" x14ac:dyDescent="0.25">
      <c r="A45" s="439"/>
      <c r="B45" s="112" t="str">
        <f>RESUMO!B72</f>
        <v>1.7 Almoxarifados/Galpões</v>
      </c>
      <c r="C45" s="366">
        <v>25194</v>
      </c>
      <c r="D45" s="373">
        <f>RESUMO!C72</f>
        <v>732.73</v>
      </c>
      <c r="E45" s="373">
        <f ca="1">RESUMO!D72</f>
        <v>0.6</v>
      </c>
      <c r="F45" s="367">
        <f t="shared" ca="1" si="6"/>
        <v>439.63799999999998</v>
      </c>
      <c r="G45" s="372">
        <f t="shared" ca="1" si="7"/>
        <v>5275.6559999999999</v>
      </c>
    </row>
    <row r="46" spans="1:7" x14ac:dyDescent="0.25">
      <c r="A46" s="439"/>
      <c r="B46" s="112" t="str">
        <f>RESUMO!B73</f>
        <v>1.8 Oficinas, estufas e viveiros</v>
      </c>
      <c r="C46" s="366">
        <v>25194</v>
      </c>
      <c r="D46" s="373">
        <f>RESUMO!C73</f>
        <v>376.74</v>
      </c>
      <c r="E46" s="373">
        <f ca="1">RESUMO!D73</f>
        <v>0.67</v>
      </c>
      <c r="F46" s="367">
        <f t="shared" ca="1" si="6"/>
        <v>252.41580000000002</v>
      </c>
      <c r="G46" s="372">
        <f t="shared" ca="1" si="7"/>
        <v>3028.9896000000003</v>
      </c>
    </row>
    <row r="47" spans="1:7" x14ac:dyDescent="0.25">
      <c r="A47" s="439"/>
      <c r="B47" s="112" t="str">
        <f>RESUMO!B74</f>
        <v>1.9 Áreas com espaços livres (circulação, hall, saguão)</v>
      </c>
      <c r="C47" s="366">
        <v>25194</v>
      </c>
      <c r="D47" s="373">
        <f>RESUMO!C74</f>
        <v>2973.0499999999993</v>
      </c>
      <c r="E47" s="373">
        <f ca="1">RESUMO!D74</f>
        <v>2.0299999999999998</v>
      </c>
      <c r="F47" s="367">
        <f t="shared" ca="1" si="6"/>
        <v>6035.2914999999975</v>
      </c>
      <c r="G47" s="372">
        <f t="shared" ca="1" si="7"/>
        <v>72423.497999999963</v>
      </c>
    </row>
    <row r="48" spans="1:7" x14ac:dyDescent="0.25">
      <c r="A48" s="439"/>
      <c r="B48" s="112" t="str">
        <f>RESUMO!B75</f>
        <v>1.10 Banheiros</v>
      </c>
      <c r="C48" s="366">
        <v>25194</v>
      </c>
      <c r="D48" s="373">
        <f>RESUMO!C75</f>
        <v>412.83000000000004</v>
      </c>
      <c r="E48" s="373">
        <f ca="1">RESUMO!D75</f>
        <v>39.590000000000003</v>
      </c>
      <c r="F48" s="367">
        <f t="shared" ca="1" si="6"/>
        <v>16343.939700000003</v>
      </c>
      <c r="G48" s="372">
        <f t="shared" ca="1" si="7"/>
        <v>196127.27640000003</v>
      </c>
    </row>
    <row r="49" spans="1:7" x14ac:dyDescent="0.25">
      <c r="A49" s="439"/>
      <c r="B49" s="112" t="str">
        <f>RESUMO!B77</f>
        <v>2.1 Pisos pavimentados contíguos às edificações</v>
      </c>
      <c r="C49" s="366">
        <v>25194</v>
      </c>
      <c r="D49" s="373">
        <f>RESUMO!C77</f>
        <v>19.13</v>
      </c>
      <c r="E49" s="373">
        <f ca="1">RESUMO!D77</f>
        <v>0.67</v>
      </c>
      <c r="F49" s="367">
        <f t="shared" ca="1" si="6"/>
        <v>12.8171</v>
      </c>
      <c r="G49" s="372">
        <f t="shared" ca="1" si="7"/>
        <v>153.80520000000001</v>
      </c>
    </row>
    <row r="50" spans="1:7" x14ac:dyDescent="0.25">
      <c r="A50" s="439"/>
      <c r="B50" s="112" t="str">
        <f>RESUMO!B79</f>
        <v>3.1 Vidros e esquadrias - Face interna</v>
      </c>
      <c r="C50" s="366">
        <v>25194</v>
      </c>
      <c r="D50" s="373">
        <f>RESUMO!C79</f>
        <v>2190.6300000000006</v>
      </c>
      <c r="E50" s="373">
        <f ca="1">RESUMO!D79</f>
        <v>0.17</v>
      </c>
      <c r="F50" s="367">
        <f t="shared" ca="1" si="6"/>
        <v>372.40710000000013</v>
      </c>
      <c r="G50" s="372">
        <f t="shared" ca="1" si="7"/>
        <v>4468.8852000000015</v>
      </c>
    </row>
    <row r="51" spans="1:7" x14ac:dyDescent="0.25">
      <c r="A51" s="439"/>
      <c r="B51" s="112" t="str">
        <f>RESUMO!B80</f>
        <v>3.2 Vidros e esquadrias - Face externa com exposição a situação de risco</v>
      </c>
      <c r="C51" s="366">
        <v>25194</v>
      </c>
      <c r="D51" s="373">
        <f>RESUMO!C80</f>
        <v>2190.6300000000006</v>
      </c>
      <c r="E51" s="373">
        <f ca="1">RESUMO!D80</f>
        <v>0.4</v>
      </c>
      <c r="F51" s="367">
        <f t="shared" ca="1" si="6"/>
        <v>876.25200000000029</v>
      </c>
      <c r="G51" s="372">
        <f t="shared" ca="1" si="7"/>
        <v>10515.024000000003</v>
      </c>
    </row>
    <row r="52" spans="1:7" hidden="1" x14ac:dyDescent="0.25">
      <c r="A52" s="439"/>
      <c r="B52" s="112" t="str">
        <f>RESUMO!B81</f>
        <v>3.3 Fachadas externas com exposição a situação de risco</v>
      </c>
      <c r="C52" s="366">
        <v>25194</v>
      </c>
      <c r="D52" s="373">
        <f>RESUMO!C81</f>
        <v>0</v>
      </c>
      <c r="E52" s="373">
        <f>RESUMO!D81</f>
        <v>0</v>
      </c>
      <c r="F52" s="367">
        <f t="shared" si="6"/>
        <v>0</v>
      </c>
      <c r="G52" s="372">
        <f t="shared" si="7"/>
        <v>0</v>
      </c>
    </row>
    <row r="53" spans="1:7" x14ac:dyDescent="0.25">
      <c r="A53" s="438" t="s">
        <v>51</v>
      </c>
      <c r="B53" s="112" t="str">
        <f>RESUMO!B95</f>
        <v>1.1 Pisos frios/vinílicos - Salas de Aula</v>
      </c>
      <c r="C53" s="366">
        <v>25194</v>
      </c>
      <c r="D53" s="373">
        <f>RESUMO!C95</f>
        <v>2774.25</v>
      </c>
      <c r="E53" s="373">
        <f ca="1">RESUMO!D95</f>
        <v>7.56</v>
      </c>
      <c r="F53" s="367">
        <f t="shared" ref="F53:F66" ca="1" si="8">D53*E53</f>
        <v>20973.329999999998</v>
      </c>
      <c r="G53" s="372">
        <f t="shared" ref="G53:G66" ca="1" si="9">F53*12</f>
        <v>251679.95999999996</v>
      </c>
    </row>
    <row r="54" spans="1:7" x14ac:dyDescent="0.25">
      <c r="A54" s="439"/>
      <c r="B54" s="112" t="str">
        <f>RESUMO!B96</f>
        <v>1.2 Pisos frios/vinílicos - Administrativo</v>
      </c>
      <c r="C54" s="366">
        <v>25194</v>
      </c>
      <c r="D54" s="373">
        <f>RESUMO!C96</f>
        <v>2343.7400000000002</v>
      </c>
      <c r="E54" s="373">
        <f ca="1">RESUMO!D96</f>
        <v>2.75</v>
      </c>
      <c r="F54" s="367">
        <f t="shared" ca="1" si="8"/>
        <v>6445.2850000000008</v>
      </c>
      <c r="G54" s="372">
        <f t="shared" ca="1" si="9"/>
        <v>77343.420000000013</v>
      </c>
    </row>
    <row r="55" spans="1:7" hidden="1" x14ac:dyDescent="0.25">
      <c r="A55" s="439"/>
      <c r="B55" s="112" t="str">
        <f>RESUMO!B97</f>
        <v>1.3 Pisos frios/vinílicos - Auditório</v>
      </c>
      <c r="C55" s="366">
        <v>25194</v>
      </c>
      <c r="D55" s="373">
        <f>RESUMO!C97</f>
        <v>0</v>
      </c>
      <c r="E55" s="373">
        <f>RESUMO!D97</f>
        <v>0</v>
      </c>
      <c r="F55" s="367">
        <f t="shared" si="8"/>
        <v>0</v>
      </c>
      <c r="G55" s="372">
        <f t="shared" si="9"/>
        <v>0</v>
      </c>
    </row>
    <row r="56" spans="1:7" hidden="1" x14ac:dyDescent="0.25">
      <c r="A56" s="439"/>
      <c r="B56" s="112" t="str">
        <f>RESUMO!B98</f>
        <v>1.4 Pisos acarpetados - Administrativo</v>
      </c>
      <c r="C56" s="366">
        <v>25194</v>
      </c>
      <c r="D56" s="373">
        <f>RESUMO!C98</f>
        <v>0</v>
      </c>
      <c r="E56" s="373">
        <f>RESUMO!D98</f>
        <v>0</v>
      </c>
      <c r="F56" s="367">
        <f t="shared" si="8"/>
        <v>0</v>
      </c>
      <c r="G56" s="372">
        <f t="shared" si="9"/>
        <v>0</v>
      </c>
    </row>
    <row r="57" spans="1:7" x14ac:dyDescent="0.25">
      <c r="A57" s="439"/>
      <c r="B57" s="112" t="str">
        <f>RESUMO!B99</f>
        <v>1.5 Pisos acarpetados - Auditório</v>
      </c>
      <c r="C57" s="366">
        <v>25194</v>
      </c>
      <c r="D57" s="373">
        <f>RESUMO!C99</f>
        <v>24.25</v>
      </c>
      <c r="E57" s="373">
        <f ca="1">RESUMO!D99</f>
        <v>2.75</v>
      </c>
      <c r="F57" s="367">
        <f t="shared" ca="1" si="8"/>
        <v>66.6875</v>
      </c>
      <c r="G57" s="372">
        <f t="shared" ca="1" si="9"/>
        <v>800.25</v>
      </c>
    </row>
    <row r="58" spans="1:7" x14ac:dyDescent="0.25">
      <c r="A58" s="439"/>
      <c r="B58" s="112" t="str">
        <f>RESUMO!B100</f>
        <v>1.6 Laboratórios</v>
      </c>
      <c r="C58" s="366">
        <v>25194</v>
      </c>
      <c r="D58" s="373">
        <f>RESUMO!C100</f>
        <v>2966.3600000000006</v>
      </c>
      <c r="E58" s="373">
        <f ca="1">RESUMO!D100</f>
        <v>7.5</v>
      </c>
      <c r="F58" s="367">
        <f t="shared" ca="1" si="8"/>
        <v>22247.700000000004</v>
      </c>
      <c r="G58" s="372">
        <f t="shared" ca="1" si="9"/>
        <v>266972.40000000002</v>
      </c>
    </row>
    <row r="59" spans="1:7" x14ac:dyDescent="0.25">
      <c r="A59" s="439"/>
      <c r="B59" s="112" t="str">
        <f>RESUMO!B101</f>
        <v>1.7 Almoxarifados/Galpões</v>
      </c>
      <c r="C59" s="366">
        <v>25194</v>
      </c>
      <c r="D59" s="373">
        <f>RESUMO!C101</f>
        <v>568.92000000000007</v>
      </c>
      <c r="E59" s="373">
        <f ca="1">RESUMO!D101</f>
        <v>0.61</v>
      </c>
      <c r="F59" s="367">
        <f t="shared" ca="1" si="8"/>
        <v>347.04120000000006</v>
      </c>
      <c r="G59" s="372">
        <f t="shared" ca="1" si="9"/>
        <v>4164.4944000000005</v>
      </c>
    </row>
    <row r="60" spans="1:7" hidden="1" x14ac:dyDescent="0.25">
      <c r="A60" s="439"/>
      <c r="B60" s="112" t="str">
        <f>RESUMO!B102</f>
        <v>1.8 Oficinas, estufas e viveiros</v>
      </c>
      <c r="C60" s="366">
        <v>25194</v>
      </c>
      <c r="D60" s="373">
        <f>RESUMO!C102</f>
        <v>0</v>
      </c>
      <c r="E60" s="373">
        <f>RESUMO!D102</f>
        <v>0</v>
      </c>
      <c r="F60" s="367">
        <f t="shared" si="8"/>
        <v>0</v>
      </c>
      <c r="G60" s="372">
        <f t="shared" si="9"/>
        <v>0</v>
      </c>
    </row>
    <row r="61" spans="1:7" x14ac:dyDescent="0.25">
      <c r="A61" s="439"/>
      <c r="B61" s="112" t="str">
        <f>RESUMO!B103</f>
        <v>1.9 Áreas com espaços livres (circulação, hall, saguão)</v>
      </c>
      <c r="C61" s="366">
        <v>25194</v>
      </c>
      <c r="D61" s="373">
        <f>RESUMO!C103</f>
        <v>3266.3999999999996</v>
      </c>
      <c r="E61" s="373">
        <f ca="1">RESUMO!D103</f>
        <v>2.06</v>
      </c>
      <c r="F61" s="367">
        <f t="shared" ca="1" si="8"/>
        <v>6728.7839999999997</v>
      </c>
      <c r="G61" s="372">
        <f t="shared" ca="1" si="9"/>
        <v>80745.407999999996</v>
      </c>
    </row>
    <row r="62" spans="1:7" x14ac:dyDescent="0.25">
      <c r="A62" s="439"/>
      <c r="B62" s="112" t="str">
        <f>RESUMO!B104</f>
        <v>1.10 Banheiros</v>
      </c>
      <c r="C62" s="366">
        <v>25194</v>
      </c>
      <c r="D62" s="373">
        <f>RESUMO!C104</f>
        <v>475.90999999999997</v>
      </c>
      <c r="E62" s="373">
        <f ca="1">RESUMO!D104</f>
        <v>40.090000000000003</v>
      </c>
      <c r="F62" s="367">
        <f t="shared" ca="1" si="8"/>
        <v>19079.231899999999</v>
      </c>
      <c r="G62" s="372">
        <f t="shared" ca="1" si="9"/>
        <v>228950.78279999999</v>
      </c>
    </row>
    <row r="63" spans="1:7" x14ac:dyDescent="0.25">
      <c r="A63" s="439"/>
      <c r="B63" s="112" t="str">
        <f>RESUMO!B106</f>
        <v>2.1 Pisos pavimentados contíguos às edificações</v>
      </c>
      <c r="C63" s="366">
        <v>25194</v>
      </c>
      <c r="D63" s="373">
        <f>RESUMO!C106</f>
        <v>1397.6999999999998</v>
      </c>
      <c r="E63" s="373">
        <f ca="1">RESUMO!D106</f>
        <v>0.68</v>
      </c>
      <c r="F63" s="367">
        <f t="shared" ca="1" si="8"/>
        <v>950.43599999999992</v>
      </c>
      <c r="G63" s="372">
        <f t="shared" ca="1" si="9"/>
        <v>11405.232</v>
      </c>
    </row>
    <row r="64" spans="1:7" x14ac:dyDescent="0.25">
      <c r="A64" s="439"/>
      <c r="B64" s="112" t="str">
        <f>RESUMO!B108</f>
        <v>3.1 Vidros e esquadrias - Face interna</v>
      </c>
      <c r="C64" s="366">
        <v>25194</v>
      </c>
      <c r="D64" s="373">
        <f>RESUMO!C108</f>
        <v>3074.6900000000005</v>
      </c>
      <c r="E64" s="373">
        <f ca="1">RESUMO!D108</f>
        <v>0.17</v>
      </c>
      <c r="F64" s="367">
        <f t="shared" ca="1" si="8"/>
        <v>522.69730000000015</v>
      </c>
      <c r="G64" s="372">
        <f t="shared" ca="1" si="9"/>
        <v>6272.3676000000014</v>
      </c>
    </row>
    <row r="65" spans="1:7" x14ac:dyDescent="0.25">
      <c r="A65" s="439"/>
      <c r="B65" s="112" t="str">
        <f>RESUMO!B109</f>
        <v>3.2 Vidros e esquadrias - Face externa com exposição a situação de risco</v>
      </c>
      <c r="C65" s="366">
        <v>25194</v>
      </c>
      <c r="D65" s="373">
        <f>RESUMO!C109</f>
        <v>3074.6900000000005</v>
      </c>
      <c r="E65" s="373">
        <f ca="1">RESUMO!D109</f>
        <v>0.4</v>
      </c>
      <c r="F65" s="367">
        <f t="shared" ca="1" si="8"/>
        <v>1229.8760000000002</v>
      </c>
      <c r="G65" s="372">
        <f t="shared" ca="1" si="9"/>
        <v>14758.512000000002</v>
      </c>
    </row>
    <row r="66" spans="1:7" hidden="1" x14ac:dyDescent="0.25">
      <c r="A66" s="439"/>
      <c r="B66" s="112" t="str">
        <f>RESUMO!B110</f>
        <v>3.3 Fachadas externas com exposição a situação de risco</v>
      </c>
      <c r="C66" s="366">
        <v>25194</v>
      </c>
      <c r="D66" s="373">
        <f>RESUMO!C110</f>
        <v>0</v>
      </c>
      <c r="E66" s="373">
        <f>RESUMO!D110</f>
        <v>0</v>
      </c>
      <c r="F66" s="367">
        <f t="shared" si="8"/>
        <v>0</v>
      </c>
      <c r="G66" s="372">
        <f t="shared" si="9"/>
        <v>0</v>
      </c>
    </row>
    <row r="67" spans="1:7" s="113" customFormat="1" ht="30" x14ac:dyDescent="0.25">
      <c r="A67" s="369" t="s">
        <v>76</v>
      </c>
      <c r="B67" s="375" t="str">
        <f>RESUMO!B142</f>
        <v>4.2 Auxiliar de Limpeza - Banheiros</v>
      </c>
      <c r="C67" s="366">
        <v>25194</v>
      </c>
      <c r="D67" s="376">
        <f>RESUMO!C142</f>
        <v>2</v>
      </c>
      <c r="E67" s="376">
        <f ca="1">RESUMO!D142</f>
        <v>5481.06</v>
      </c>
      <c r="F67" s="374">
        <f t="shared" ref="F67" ca="1" si="10">D67*E67</f>
        <v>10962.12</v>
      </c>
      <c r="G67" s="374">
        <f t="shared" ref="G67" ca="1" si="11">F67*12</f>
        <v>131545.44</v>
      </c>
    </row>
    <row r="68" spans="1:7" x14ac:dyDescent="0.25">
      <c r="A68" s="440" t="s">
        <v>53</v>
      </c>
      <c r="B68" s="112" t="str">
        <f>RESUMO!B166</f>
        <v>3.1 Vidros e esquadrias - Face interna</v>
      </c>
      <c r="C68" s="366">
        <v>25194</v>
      </c>
      <c r="D68" s="373">
        <f>RESUMO!C166</f>
        <v>691.05</v>
      </c>
      <c r="E68" s="373">
        <f ca="1">RESUMO!D166</f>
        <v>0.17</v>
      </c>
      <c r="F68" s="374">
        <f t="shared" ref="F68:F70" ca="1" si="12">D68*E68</f>
        <v>117.4785</v>
      </c>
      <c r="G68" s="374">
        <f t="shared" ref="G68:G70" ca="1" si="13">F68*12</f>
        <v>1409.742</v>
      </c>
    </row>
    <row r="69" spans="1:7" x14ac:dyDescent="0.25">
      <c r="A69" s="441"/>
      <c r="B69" s="112" t="str">
        <f>RESUMO!B167</f>
        <v>3.2 Vidros e esquadrias - Face externa com exposição a situação de risco</v>
      </c>
      <c r="C69" s="366">
        <v>25194</v>
      </c>
      <c r="D69" s="373">
        <f>RESUMO!C167</f>
        <v>691.05</v>
      </c>
      <c r="E69" s="373">
        <f ca="1">RESUMO!D167</f>
        <v>0.4</v>
      </c>
      <c r="F69" s="374">
        <f t="shared" ca="1" si="12"/>
        <v>276.42</v>
      </c>
      <c r="G69" s="374">
        <f t="shared" ca="1" si="13"/>
        <v>3317.04</v>
      </c>
    </row>
    <row r="70" spans="1:7" x14ac:dyDescent="0.25">
      <c r="A70" s="441"/>
      <c r="B70" s="112" t="str">
        <f>RESUMO!B171</f>
        <v>4.2 Auxiliar de Limpeza - Banheiros</v>
      </c>
      <c r="C70" s="366">
        <v>25194</v>
      </c>
      <c r="D70" s="373">
        <f>RESUMO!C171</f>
        <v>2</v>
      </c>
      <c r="E70" s="373">
        <f ca="1">RESUMO!D171</f>
        <v>5481.06</v>
      </c>
      <c r="F70" s="374">
        <f t="shared" ca="1" si="12"/>
        <v>10962.12</v>
      </c>
      <c r="G70" s="374">
        <f t="shared" ca="1" si="13"/>
        <v>131545.44</v>
      </c>
    </row>
    <row r="71" spans="1:7" x14ac:dyDescent="0.25">
      <c r="A71" s="442" t="s">
        <v>1193</v>
      </c>
      <c r="B71" s="442"/>
      <c r="C71" s="442"/>
      <c r="D71" s="442"/>
      <c r="E71" s="442"/>
      <c r="F71" s="379">
        <f ca="1">SUM(F3:F70)</f>
        <v>2449323.1808789624</v>
      </c>
      <c r="G71" s="379">
        <f ca="1">SUM(G3:G70)</f>
        <v>29391878.170547541</v>
      </c>
    </row>
  </sheetData>
  <mergeCells count="7">
    <mergeCell ref="A39:A52"/>
    <mergeCell ref="A53:A66"/>
    <mergeCell ref="A68:A70"/>
    <mergeCell ref="A71:E71"/>
    <mergeCell ref="A3:A23"/>
    <mergeCell ref="D23:E23"/>
    <mergeCell ref="A24:A38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F2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J37"/>
  <sheetViews>
    <sheetView tabSelected="1" topLeftCell="D1" workbookViewId="0">
      <selection activeCell="F36" sqref="F36"/>
    </sheetView>
  </sheetViews>
  <sheetFormatPr defaultColWidth="8.85546875" defaultRowHeight="15" x14ac:dyDescent="0.25"/>
  <cols>
    <col min="1" max="1" width="19.7109375" bestFit="1" customWidth="1"/>
    <col min="2" max="2" width="32.5703125" bestFit="1" customWidth="1"/>
    <col min="3" max="3" width="60.28515625" style="26" customWidth="1"/>
    <col min="4" max="4" width="10.28515625" style="26" bestFit="1" customWidth="1"/>
    <col min="5" max="5" width="29.28515625" bestFit="1" customWidth="1"/>
    <col min="6" max="6" width="45.7109375" bestFit="1" customWidth="1"/>
    <col min="7" max="7" width="15.42578125" bestFit="1" customWidth="1"/>
    <col min="8" max="8" width="20.28515625" style="255" bestFit="1" customWidth="1"/>
    <col min="9" max="9" width="17.28515625" bestFit="1" customWidth="1"/>
    <col min="10" max="10" width="20.5703125" bestFit="1" customWidth="1"/>
  </cols>
  <sheetData>
    <row r="1" spans="1:10" s="38" customFormat="1" ht="40.5" customHeight="1" x14ac:dyDescent="0.25">
      <c r="A1" s="434" t="s">
        <v>1227</v>
      </c>
      <c r="B1" s="434"/>
      <c r="C1" s="434"/>
      <c r="D1" s="434"/>
      <c r="E1" s="434"/>
      <c r="F1" s="434"/>
      <c r="G1" s="434"/>
      <c r="H1" s="434"/>
      <c r="I1" s="434"/>
      <c r="J1" s="434"/>
    </row>
    <row r="3" spans="1:10" x14ac:dyDescent="0.25">
      <c r="A3" s="270" t="s">
        <v>54</v>
      </c>
      <c r="B3" s="271" t="s">
        <v>39</v>
      </c>
      <c r="C3" s="272" t="s">
        <v>55</v>
      </c>
      <c r="D3" s="271" t="s">
        <v>56</v>
      </c>
      <c r="E3" s="272" t="s">
        <v>57</v>
      </c>
      <c r="F3" s="272" t="s">
        <v>58</v>
      </c>
      <c r="G3" s="272" t="s">
        <v>59</v>
      </c>
      <c r="H3" s="383" t="s">
        <v>5</v>
      </c>
      <c r="I3" s="272" t="s">
        <v>6</v>
      </c>
      <c r="J3" s="273" t="s">
        <v>60</v>
      </c>
    </row>
    <row r="4" spans="1:10" x14ac:dyDescent="0.25">
      <c r="A4" s="274" t="s">
        <v>52</v>
      </c>
      <c r="B4" s="275" t="s">
        <v>25</v>
      </c>
      <c r="C4" s="382" t="s">
        <v>61</v>
      </c>
      <c r="D4" s="275" t="s">
        <v>62</v>
      </c>
      <c r="E4" s="259" t="s">
        <v>63</v>
      </c>
      <c r="F4" s="263" t="s">
        <v>64</v>
      </c>
      <c r="G4" s="382">
        <v>1</v>
      </c>
      <c r="H4" s="373" cm="1">
        <f t="array" aca="1" ref="H4" ca="1">IF(tbPOSTOS[[#This Row],[TIPO DE POSTO]]&lt;&gt;"",INDEX(INDIRECT(CONCATENATE("'",tbPOSTOS[[#This Row],[TIPO DE POSTO]],"'!$1:$162")),MATCH("VALOR TOTAL DO POSTO",INDIRECT(CONCATENATE("'",tbPOSTOS[[#This Row],[TIPO DE POSTO]],"'!$A:$A")),0),MATCH("00 - VALOR ESTIMADO",INDIRECT(CONCATENATE("'",tbPOSTOS[[#This Row],[TIPO DE POSTO]],"'!$25:$25")),0)+1),0)</f>
        <v>5073.5200000000004</v>
      </c>
      <c r="I4" s="384">
        <f ca="1">tbPOSTOS[[#This Row],[VALOR UNITÁRIO]]*tbPOSTOS[[#This Row],[QUANTIDADE]]</f>
        <v>5073.5200000000004</v>
      </c>
      <c r="J4" s="121" t="s">
        <v>1</v>
      </c>
    </row>
    <row r="5" spans="1:10" x14ac:dyDescent="0.25">
      <c r="A5" s="274" t="s">
        <v>52</v>
      </c>
      <c r="B5" s="275" t="s">
        <v>27</v>
      </c>
      <c r="C5" s="263" t="s">
        <v>65</v>
      </c>
      <c r="D5" s="275" t="s">
        <v>66</v>
      </c>
      <c r="E5" s="276" t="s">
        <v>956</v>
      </c>
      <c r="F5" s="263" t="s">
        <v>67</v>
      </c>
      <c r="G5" s="263">
        <v>1</v>
      </c>
      <c r="H5" s="324" cm="1">
        <f t="array" aca="1" ref="H5" ca="1">IF(tbPOSTOS[[#This Row],[TIPO DE POSTO]]&lt;&gt;"",INDEX(INDIRECT(CONCATENATE("'",tbPOSTOS[[#This Row],[TIPO DE POSTO]],"'!$1:$162")),MATCH("VALOR TOTAL DO POSTO",INDIRECT(CONCATENATE("'",tbPOSTOS[[#This Row],[TIPO DE POSTO]],"'!$A:$A")),0),MATCH("00 - VALOR ESTIMADO",INDIRECT(CONCATENATE("'",tbPOSTOS[[#This Row],[TIPO DE POSTO]],"'!$25:$25")),0)+1),0)</f>
        <v>6143.08</v>
      </c>
      <c r="I5" s="385">
        <f ca="1">tbPOSTOS[[#This Row],[VALOR UNITÁRIO]]*tbPOSTOS[[#This Row],[QUANTIDADE]]</f>
        <v>6143.08</v>
      </c>
      <c r="J5" s="121" t="s">
        <v>1</v>
      </c>
    </row>
    <row r="6" spans="1:10" x14ac:dyDescent="0.25">
      <c r="A6" s="274" t="s">
        <v>52</v>
      </c>
      <c r="B6" s="275" t="s">
        <v>27</v>
      </c>
      <c r="C6" s="263" t="s">
        <v>65</v>
      </c>
      <c r="D6" s="275" t="s">
        <v>68</v>
      </c>
      <c r="E6" s="276" t="s">
        <v>956</v>
      </c>
      <c r="F6" s="263" t="s">
        <v>69</v>
      </c>
      <c r="G6" s="382">
        <v>1</v>
      </c>
      <c r="H6" s="373" cm="1">
        <f t="array" aca="1" ref="H6" ca="1">IF(tbPOSTOS[[#This Row],[TIPO DE POSTO]]&lt;&gt;"",INDEX(INDIRECT(CONCATENATE("'",tbPOSTOS[[#This Row],[TIPO DE POSTO]],"'!$1:$162")),MATCH("VALOR TOTAL DO POSTO",INDIRECT(CONCATENATE("'",tbPOSTOS[[#This Row],[TIPO DE POSTO]],"'!$A:$A")),0),MATCH("00 - VALOR ESTIMADO",INDIRECT(CONCATENATE("'",tbPOSTOS[[#This Row],[TIPO DE POSTO]],"'!$25:$25")),0)+1),0)</f>
        <v>6143.08</v>
      </c>
      <c r="I6" s="384">
        <f ca="1">tbPOSTOS[[#This Row],[VALOR UNITÁRIO]]*tbPOSTOS[[#This Row],[QUANTIDADE]]</f>
        <v>6143.08</v>
      </c>
      <c r="J6" s="121" t="s">
        <v>1</v>
      </c>
    </row>
    <row r="7" spans="1:10" x14ac:dyDescent="0.25">
      <c r="A7" s="274" t="s">
        <v>52</v>
      </c>
      <c r="B7" s="275" t="s">
        <v>27</v>
      </c>
      <c r="C7" s="263" t="s">
        <v>65</v>
      </c>
      <c r="D7" s="275" t="s">
        <v>70</v>
      </c>
      <c r="E7" s="276" t="s">
        <v>956</v>
      </c>
      <c r="F7" s="263" t="s">
        <v>71</v>
      </c>
      <c r="G7" s="382">
        <v>1</v>
      </c>
      <c r="H7" s="373" cm="1">
        <f t="array" aca="1" ref="H7" ca="1">IF(tbPOSTOS[[#This Row],[TIPO DE POSTO]]&lt;&gt;"",INDEX(INDIRECT(CONCATENATE("'",tbPOSTOS[[#This Row],[TIPO DE POSTO]],"'!$1:$162")),MATCH("VALOR TOTAL DO POSTO",INDIRECT(CONCATENATE("'",tbPOSTOS[[#This Row],[TIPO DE POSTO]],"'!$A:$A")),0),MATCH("00 - VALOR ESTIMADO",INDIRECT(CONCATENATE("'",tbPOSTOS[[#This Row],[TIPO DE POSTO]],"'!$25:$25")),0)+1),0)</f>
        <v>6143.08</v>
      </c>
      <c r="I7" s="384">
        <f ca="1">tbPOSTOS[[#This Row],[VALOR UNITÁRIO]]*tbPOSTOS[[#This Row],[QUANTIDADE]]</f>
        <v>6143.08</v>
      </c>
      <c r="J7" s="121" t="s">
        <v>1</v>
      </c>
    </row>
    <row r="8" spans="1:10" x14ac:dyDescent="0.25">
      <c r="A8" s="274" t="s">
        <v>52</v>
      </c>
      <c r="B8" s="275" t="s">
        <v>27</v>
      </c>
      <c r="C8" s="263" t="s">
        <v>65</v>
      </c>
      <c r="D8" s="275" t="s">
        <v>72</v>
      </c>
      <c r="E8" s="276" t="s">
        <v>956</v>
      </c>
      <c r="F8" s="263" t="s">
        <v>73</v>
      </c>
      <c r="G8" s="382">
        <v>7</v>
      </c>
      <c r="H8" s="373" cm="1">
        <f t="array" aca="1" ref="H8" ca="1">IF(tbPOSTOS[[#This Row],[TIPO DE POSTO]]&lt;&gt;"",INDEX(INDIRECT(CONCATENATE("'",tbPOSTOS[[#This Row],[TIPO DE POSTO]],"'!$1:$162")),MATCH("VALOR TOTAL DO POSTO",INDIRECT(CONCATENATE("'",tbPOSTOS[[#This Row],[TIPO DE POSTO]],"'!$A:$A")),0),MATCH("00 - VALOR ESTIMADO",INDIRECT(CONCATENATE("'",tbPOSTOS[[#This Row],[TIPO DE POSTO]],"'!$25:$25")),0)+1),0)</f>
        <v>6143.08</v>
      </c>
      <c r="I8" s="384">
        <f ca="1">tbPOSTOS[[#This Row],[VALOR UNITÁRIO]]*tbPOSTOS[[#This Row],[QUANTIDADE]]</f>
        <v>43001.56</v>
      </c>
      <c r="J8" s="121" t="s">
        <v>1</v>
      </c>
    </row>
    <row r="9" spans="1:10" x14ac:dyDescent="0.25">
      <c r="A9" s="274" t="s">
        <v>52</v>
      </c>
      <c r="B9" s="275" t="s">
        <v>27</v>
      </c>
      <c r="C9" s="263" t="s">
        <v>65</v>
      </c>
      <c r="D9" s="275" t="s">
        <v>74</v>
      </c>
      <c r="E9" s="276" t="s">
        <v>956</v>
      </c>
      <c r="F9" s="263" t="s">
        <v>75</v>
      </c>
      <c r="G9" s="382">
        <v>2</v>
      </c>
      <c r="H9" s="373" cm="1">
        <f t="array" aca="1" ref="H9" ca="1">IF(tbPOSTOS[[#This Row],[TIPO DE POSTO]]&lt;&gt;"",INDEX(INDIRECT(CONCATENATE("'",tbPOSTOS[[#This Row],[TIPO DE POSTO]],"'!$1:$162")),MATCH("VALOR TOTAL DO POSTO",INDIRECT(CONCATENATE("'",tbPOSTOS[[#This Row],[TIPO DE POSTO]],"'!$A:$A")),0),MATCH("00 - VALOR ESTIMADO",INDIRECT(CONCATENATE("'",tbPOSTOS[[#This Row],[TIPO DE POSTO]],"'!$25:$25")),0)+1),0)</f>
        <v>6143.08</v>
      </c>
      <c r="I9" s="384">
        <f ca="1">tbPOSTOS[[#This Row],[VALOR UNITÁRIO]]*tbPOSTOS[[#This Row],[QUANTIDADE]]</f>
        <v>12286.16</v>
      </c>
      <c r="J9" s="121" t="s">
        <v>1</v>
      </c>
    </row>
    <row r="10" spans="1:10" x14ac:dyDescent="0.25">
      <c r="A10" s="274" t="s">
        <v>76</v>
      </c>
      <c r="B10" s="277" t="s">
        <v>26</v>
      </c>
      <c r="C10" s="382" t="s">
        <v>77</v>
      </c>
      <c r="D10" s="275" t="s">
        <v>78</v>
      </c>
      <c r="E10" s="278" t="s">
        <v>1159</v>
      </c>
      <c r="F10" s="263" t="s">
        <v>79</v>
      </c>
      <c r="G10" s="382">
        <v>2</v>
      </c>
      <c r="H10" s="373" cm="1">
        <f t="array" aca="1" ref="H10" ca="1">IF(tbPOSTOS[[#This Row],[TIPO DE POSTO]]&lt;&gt;"",INDEX(INDIRECT(CONCATENATE("'",tbPOSTOS[[#This Row],[TIPO DE POSTO]],"'!$1:$162")),MATCH("VALOR TOTAL DO POSTO",INDIRECT(CONCATENATE("'",tbPOSTOS[[#This Row],[TIPO DE POSTO]],"'!$A:$A")),0),MATCH("00 - VALOR ESTIMADO",INDIRECT(CONCATENATE("'",tbPOSTOS[[#This Row],[TIPO DE POSTO]],"'!$25:$25")),0)+1),0)</f>
        <v>5481.06</v>
      </c>
      <c r="I10" s="384">
        <f ca="1">tbPOSTOS[[#This Row],[VALOR UNITÁRIO]]*tbPOSTOS[[#This Row],[QUANTIDADE]]</f>
        <v>10962.12</v>
      </c>
      <c r="J10" s="121" t="s">
        <v>1</v>
      </c>
    </row>
    <row r="11" spans="1:10" x14ac:dyDescent="0.25">
      <c r="A11" s="274" t="s">
        <v>52</v>
      </c>
      <c r="B11" s="277" t="s">
        <v>26</v>
      </c>
      <c r="C11" s="382" t="s">
        <v>77</v>
      </c>
      <c r="D11" s="275" t="s">
        <v>80</v>
      </c>
      <c r="E11" s="279" t="s">
        <v>81</v>
      </c>
      <c r="F11" s="263" t="s">
        <v>80</v>
      </c>
      <c r="G11" s="382">
        <v>0.5</v>
      </c>
      <c r="H11" s="373" cm="1">
        <f t="array" aca="1" ref="H11" ca="1">IF(tbPOSTOS[[#This Row],[TIPO DE POSTO]]&lt;&gt;"",INDEX(INDIRECT(CONCATENATE("'",tbPOSTOS[[#This Row],[TIPO DE POSTO]],"'!$1:$162")),MATCH("VALOR TOTAL DO POSTO",INDIRECT(CONCATENATE("'",tbPOSTOS[[#This Row],[TIPO DE POSTO]],"'!$A:$A")),0),MATCH("00 - VALOR ESTIMADO",INDIRECT(CONCATENATE("'",tbPOSTOS[[#This Row],[TIPO DE POSTO]],"'!$25:$25")),0)+1),0)</f>
        <v>5816.54</v>
      </c>
      <c r="I11" s="384">
        <f ca="1">tbPOSTOS[[#This Row],[VALOR UNITÁRIO]]*tbPOSTOS[[#This Row],[QUANTIDADE]]</f>
        <v>2908.27</v>
      </c>
      <c r="J11" s="121" t="s">
        <v>1</v>
      </c>
    </row>
    <row r="12" spans="1:10" x14ac:dyDescent="0.25">
      <c r="A12" s="274" t="s">
        <v>52</v>
      </c>
      <c r="B12" s="277" t="s">
        <v>26</v>
      </c>
      <c r="C12" s="382" t="s">
        <v>82</v>
      </c>
      <c r="D12" s="275" t="s">
        <v>80</v>
      </c>
      <c r="E12" s="279" t="s">
        <v>81</v>
      </c>
      <c r="F12" s="263" t="s">
        <v>80</v>
      </c>
      <c r="G12" s="382">
        <v>0.5</v>
      </c>
      <c r="H12" s="373" cm="1">
        <f t="array" aca="1" ref="H12" ca="1">IF(tbPOSTOS[[#This Row],[TIPO DE POSTO]]&lt;&gt;"",INDEX(INDIRECT(CONCATENATE("'",tbPOSTOS[[#This Row],[TIPO DE POSTO]],"'!$1:$162")),MATCH("VALOR TOTAL DO POSTO",INDIRECT(CONCATENATE("'",tbPOSTOS[[#This Row],[TIPO DE POSTO]],"'!$A:$A")),0),MATCH("00 - VALOR ESTIMADO",INDIRECT(CONCATENATE("'",tbPOSTOS[[#This Row],[TIPO DE POSTO]],"'!$25:$25")),0)+1),0)</f>
        <v>5816.54</v>
      </c>
      <c r="I12" s="384">
        <f ca="1">tbPOSTOS[[#This Row],[VALOR UNITÁRIO]]*tbPOSTOS[[#This Row],[QUANTIDADE]]</f>
        <v>2908.27</v>
      </c>
      <c r="J12" s="121" t="s">
        <v>1</v>
      </c>
    </row>
    <row r="13" spans="1:10" x14ac:dyDescent="0.25">
      <c r="A13" s="274" t="s">
        <v>52</v>
      </c>
      <c r="B13" s="275" t="s">
        <v>25</v>
      </c>
      <c r="C13" s="382" t="s">
        <v>83</v>
      </c>
      <c r="D13" s="275" t="s">
        <v>84</v>
      </c>
      <c r="E13" s="259" t="s">
        <v>63</v>
      </c>
      <c r="F13" s="263" t="s">
        <v>85</v>
      </c>
      <c r="G13" s="382">
        <v>1</v>
      </c>
      <c r="H13" s="373" cm="1">
        <f t="array" aca="1" ref="H13" ca="1">IF(tbPOSTOS[[#This Row],[TIPO DE POSTO]]&lt;&gt;"",INDEX(INDIRECT(CONCATENATE("'",tbPOSTOS[[#This Row],[TIPO DE POSTO]],"'!$1:$162")),MATCH("VALOR TOTAL DO POSTO",INDIRECT(CONCATENATE("'",tbPOSTOS[[#This Row],[TIPO DE POSTO]],"'!$A:$A")),0),MATCH("00 - VALOR ESTIMADO",INDIRECT(CONCATENATE("'",tbPOSTOS[[#This Row],[TIPO DE POSTO]],"'!$25:$25")),0)+1),0)</f>
        <v>5073.5200000000004</v>
      </c>
      <c r="I13" s="384">
        <f ca="1">tbPOSTOS[[#This Row],[VALOR UNITÁRIO]]*tbPOSTOS[[#This Row],[QUANTIDADE]]</f>
        <v>5073.5200000000004</v>
      </c>
      <c r="J13" s="121" t="s">
        <v>1</v>
      </c>
    </row>
    <row r="14" spans="1:10" x14ac:dyDescent="0.25">
      <c r="A14" s="274" t="s">
        <v>52</v>
      </c>
      <c r="B14" s="275" t="s">
        <v>27</v>
      </c>
      <c r="C14" s="382" t="s">
        <v>83</v>
      </c>
      <c r="D14" s="275" t="s">
        <v>84</v>
      </c>
      <c r="E14" s="276" t="s">
        <v>956</v>
      </c>
      <c r="F14" s="263" t="s">
        <v>85</v>
      </c>
      <c r="G14" s="382">
        <v>8</v>
      </c>
      <c r="H14" s="373" cm="1">
        <f t="array" aca="1" ref="H14" ca="1">IF(tbPOSTOS[[#This Row],[TIPO DE POSTO]]&lt;&gt;"",INDEX(INDIRECT(CONCATENATE("'",tbPOSTOS[[#This Row],[TIPO DE POSTO]],"'!$1:$162")),MATCH("VALOR TOTAL DO POSTO",INDIRECT(CONCATENATE("'",tbPOSTOS[[#This Row],[TIPO DE POSTO]],"'!$A:$A")),0),MATCH("00 - VALOR ESTIMADO",INDIRECT(CONCATENATE("'",tbPOSTOS[[#This Row],[TIPO DE POSTO]],"'!$25:$25")),0)+1),0)</f>
        <v>6143.08</v>
      </c>
      <c r="I14" s="384">
        <f ca="1">tbPOSTOS[[#This Row],[VALOR UNITÁRIO]]*tbPOSTOS[[#This Row],[QUANTIDADE]]</f>
        <v>49144.639999999999</v>
      </c>
      <c r="J14" s="121" t="s">
        <v>1</v>
      </c>
    </row>
    <row r="15" spans="1:10" x14ac:dyDescent="0.25">
      <c r="A15" s="274" t="s">
        <v>52</v>
      </c>
      <c r="B15" s="275" t="s">
        <v>27</v>
      </c>
      <c r="C15" s="382" t="s">
        <v>83</v>
      </c>
      <c r="D15" s="275" t="s">
        <v>86</v>
      </c>
      <c r="E15" s="276" t="s">
        <v>956</v>
      </c>
      <c r="F15" s="263" t="s">
        <v>87</v>
      </c>
      <c r="G15" s="382">
        <v>1</v>
      </c>
      <c r="H15" s="373" cm="1">
        <f t="array" aca="1" ref="H15" ca="1">IF(tbPOSTOS[[#This Row],[TIPO DE POSTO]]&lt;&gt;"",INDEX(INDIRECT(CONCATENATE("'",tbPOSTOS[[#This Row],[TIPO DE POSTO]],"'!$1:$162")),MATCH("VALOR TOTAL DO POSTO",INDIRECT(CONCATENATE("'",tbPOSTOS[[#This Row],[TIPO DE POSTO]],"'!$A:$A")),0),MATCH("00 - VALOR ESTIMADO",INDIRECT(CONCATENATE("'",tbPOSTOS[[#This Row],[TIPO DE POSTO]],"'!$25:$25")),0)+1),0)</f>
        <v>6143.08</v>
      </c>
      <c r="I15" s="384">
        <f ca="1">tbPOSTOS[[#This Row],[VALOR UNITÁRIO]]*tbPOSTOS[[#This Row],[QUANTIDADE]]</f>
        <v>6143.08</v>
      </c>
      <c r="J15" s="121" t="s">
        <v>1</v>
      </c>
    </row>
    <row r="16" spans="1:10" x14ac:dyDescent="0.25">
      <c r="A16" s="274" t="s">
        <v>52</v>
      </c>
      <c r="B16" s="277" t="s">
        <v>26</v>
      </c>
      <c r="C16" s="382" t="s">
        <v>88</v>
      </c>
      <c r="D16" s="275" t="s">
        <v>89</v>
      </c>
      <c r="E16" s="279" t="s">
        <v>81</v>
      </c>
      <c r="F16" s="263" t="s">
        <v>90</v>
      </c>
      <c r="G16" s="382">
        <v>1</v>
      </c>
      <c r="H16" s="373" cm="1">
        <f t="array" aca="1" ref="H16" ca="1">IF(tbPOSTOS[[#This Row],[TIPO DE POSTO]]&lt;&gt;"",INDEX(INDIRECT(CONCATENATE("'",tbPOSTOS[[#This Row],[TIPO DE POSTO]],"'!$1:$162")),MATCH("VALOR TOTAL DO POSTO",INDIRECT(CONCATENATE("'",tbPOSTOS[[#This Row],[TIPO DE POSTO]],"'!$A:$A")),0),MATCH("00 - VALOR ESTIMADO",INDIRECT(CONCATENATE("'",tbPOSTOS[[#This Row],[TIPO DE POSTO]],"'!$25:$25")),0)+1),0)</f>
        <v>5816.54</v>
      </c>
      <c r="I16" s="384">
        <f ca="1">tbPOSTOS[[#This Row],[VALOR UNITÁRIO]]*tbPOSTOS[[#This Row],[QUANTIDADE]]</f>
        <v>5816.54</v>
      </c>
      <c r="J16" s="121" t="s">
        <v>1</v>
      </c>
    </row>
    <row r="17" spans="1:10" x14ac:dyDescent="0.25">
      <c r="A17" s="274" t="s">
        <v>52</v>
      </c>
      <c r="B17" s="275" t="s">
        <v>28</v>
      </c>
      <c r="C17" s="382" t="s">
        <v>88</v>
      </c>
      <c r="D17" s="275" t="s">
        <v>91</v>
      </c>
      <c r="E17" s="352" t="s">
        <v>959</v>
      </c>
      <c r="F17" s="263" t="s">
        <v>92</v>
      </c>
      <c r="G17" s="382">
        <v>1</v>
      </c>
      <c r="H17" s="373" cm="1">
        <f t="array" aca="1" ref="H17" ca="1">IF(tbPOSTOS[[#This Row],[TIPO DE POSTO]]&lt;&gt;"",INDEX(INDIRECT(CONCATENATE("'",tbPOSTOS[[#This Row],[TIPO DE POSTO]],"'!$1:$162")),MATCH("VALOR TOTAL DO POSTO",INDIRECT(CONCATENATE("'",tbPOSTOS[[#This Row],[TIPO DE POSTO]],"'!$A:$A")),0),MATCH("00 - VALOR ESTIMADO",INDIRECT(CONCATENATE("'",tbPOSTOS[[#This Row],[TIPO DE POSTO]],"'!$25:$25")),0)+1),0)</f>
        <v>5073.5200000000004</v>
      </c>
      <c r="I17" s="384">
        <f ca="1">tbPOSTOS[[#This Row],[VALOR UNITÁRIO]]*tbPOSTOS[[#This Row],[QUANTIDADE]]</f>
        <v>5073.5200000000004</v>
      </c>
      <c r="J17" s="121" t="s">
        <v>1</v>
      </c>
    </row>
    <row r="18" spans="1:10" x14ac:dyDescent="0.25">
      <c r="A18" s="274" t="s">
        <v>52</v>
      </c>
      <c r="B18" s="277" t="s">
        <v>26</v>
      </c>
      <c r="C18" s="382" t="s">
        <v>93</v>
      </c>
      <c r="D18" s="275" t="s">
        <v>94</v>
      </c>
      <c r="E18" s="279" t="s">
        <v>81</v>
      </c>
      <c r="F18" s="263" t="s">
        <v>95</v>
      </c>
      <c r="G18" s="382">
        <v>1</v>
      </c>
      <c r="H18" s="373" cm="1">
        <f t="array" aca="1" ref="H18" ca="1">IF(tbPOSTOS[[#This Row],[TIPO DE POSTO]]&lt;&gt;"",INDEX(INDIRECT(CONCATENATE("'",tbPOSTOS[[#This Row],[TIPO DE POSTO]],"'!$1:$162")),MATCH("VALOR TOTAL DO POSTO",INDIRECT(CONCATENATE("'",tbPOSTOS[[#This Row],[TIPO DE POSTO]],"'!$A:$A")),0),MATCH("00 - VALOR ESTIMADO",INDIRECT(CONCATENATE("'",tbPOSTOS[[#This Row],[TIPO DE POSTO]],"'!$25:$25")),0)+1),0)</f>
        <v>5816.54</v>
      </c>
      <c r="I18" s="384">
        <f ca="1">tbPOSTOS[[#This Row],[VALOR UNITÁRIO]]*tbPOSTOS[[#This Row],[QUANTIDADE]]</f>
        <v>5816.54</v>
      </c>
      <c r="J18" s="121" t="s">
        <v>1</v>
      </c>
    </row>
    <row r="19" spans="1:10" x14ac:dyDescent="0.25">
      <c r="A19" s="274" t="s">
        <v>52</v>
      </c>
      <c r="B19" s="275" t="s">
        <v>27</v>
      </c>
      <c r="C19" s="382" t="s">
        <v>96</v>
      </c>
      <c r="D19" s="275" t="s">
        <v>97</v>
      </c>
      <c r="E19" s="276" t="s">
        <v>956</v>
      </c>
      <c r="F19" s="263" t="s">
        <v>98</v>
      </c>
      <c r="G19" s="382">
        <v>1</v>
      </c>
      <c r="H19" s="373" cm="1">
        <f t="array" aca="1" ref="H19" ca="1">IF(tbPOSTOS[[#This Row],[TIPO DE POSTO]]&lt;&gt;"",INDEX(INDIRECT(CONCATENATE("'",tbPOSTOS[[#This Row],[TIPO DE POSTO]],"'!$1:$162")),MATCH("VALOR TOTAL DO POSTO",INDIRECT(CONCATENATE("'",tbPOSTOS[[#This Row],[TIPO DE POSTO]],"'!$A:$A")),0),MATCH("00 - VALOR ESTIMADO",INDIRECT(CONCATENATE("'",tbPOSTOS[[#This Row],[TIPO DE POSTO]],"'!$25:$25")),0)+1),0)</f>
        <v>6143.08</v>
      </c>
      <c r="I19" s="384">
        <f ca="1">tbPOSTOS[[#This Row],[VALOR UNITÁRIO]]*tbPOSTOS[[#This Row],[QUANTIDADE]]</f>
        <v>6143.08</v>
      </c>
      <c r="J19" s="121" t="s">
        <v>1</v>
      </c>
    </row>
    <row r="20" spans="1:10" x14ac:dyDescent="0.25">
      <c r="A20" s="274" t="s">
        <v>52</v>
      </c>
      <c r="B20" s="275" t="s">
        <v>25</v>
      </c>
      <c r="C20" s="382" t="s">
        <v>99</v>
      </c>
      <c r="D20" s="275" t="s">
        <v>100</v>
      </c>
      <c r="E20" s="259" t="s">
        <v>63</v>
      </c>
      <c r="F20" s="263" t="s">
        <v>101</v>
      </c>
      <c r="G20" s="382">
        <v>1</v>
      </c>
      <c r="H20" s="373" cm="1">
        <f t="array" aca="1" ref="H20" ca="1">IF(tbPOSTOS[[#This Row],[TIPO DE POSTO]]&lt;&gt;"",INDEX(INDIRECT(CONCATENATE("'",tbPOSTOS[[#This Row],[TIPO DE POSTO]],"'!$1:$162")),MATCH("VALOR TOTAL DO POSTO",INDIRECT(CONCATENATE("'",tbPOSTOS[[#This Row],[TIPO DE POSTO]],"'!$A:$A")),0),MATCH("00 - VALOR ESTIMADO",INDIRECT(CONCATENATE("'",tbPOSTOS[[#This Row],[TIPO DE POSTO]],"'!$25:$25")),0)+1),0)</f>
        <v>5073.5200000000004</v>
      </c>
      <c r="I20" s="384">
        <f ca="1">tbPOSTOS[[#This Row],[VALOR UNITÁRIO]]*tbPOSTOS[[#This Row],[QUANTIDADE]]</f>
        <v>5073.5200000000004</v>
      </c>
      <c r="J20" s="121" t="s">
        <v>1</v>
      </c>
    </row>
    <row r="21" spans="1:10" x14ac:dyDescent="0.25">
      <c r="A21" s="274" t="s">
        <v>52</v>
      </c>
      <c r="B21" s="275" t="s">
        <v>25</v>
      </c>
      <c r="C21" s="382" t="s">
        <v>99</v>
      </c>
      <c r="D21" s="275" t="s">
        <v>102</v>
      </c>
      <c r="E21" s="259" t="s">
        <v>63</v>
      </c>
      <c r="F21" s="263" t="s">
        <v>103</v>
      </c>
      <c r="G21" s="382">
        <v>2</v>
      </c>
      <c r="H21" s="373" cm="1">
        <f t="array" aca="1" ref="H21" ca="1">IF(tbPOSTOS[[#This Row],[TIPO DE POSTO]]&lt;&gt;"",INDEX(INDIRECT(CONCATENATE("'",tbPOSTOS[[#This Row],[TIPO DE POSTO]],"'!$1:$162")),MATCH("VALOR TOTAL DO POSTO",INDIRECT(CONCATENATE("'",tbPOSTOS[[#This Row],[TIPO DE POSTO]],"'!$A:$A")),0),MATCH("00 - VALOR ESTIMADO",INDIRECT(CONCATENATE("'",tbPOSTOS[[#This Row],[TIPO DE POSTO]],"'!$25:$25")),0)+1),0)</f>
        <v>5073.5200000000004</v>
      </c>
      <c r="I21" s="384">
        <f ca="1">tbPOSTOS[[#This Row],[VALOR UNITÁRIO]]*tbPOSTOS[[#This Row],[QUANTIDADE]]</f>
        <v>10147.040000000001</v>
      </c>
      <c r="J21" s="121" t="s">
        <v>1</v>
      </c>
    </row>
    <row r="22" spans="1:10" x14ac:dyDescent="0.25">
      <c r="A22" s="274" t="s">
        <v>52</v>
      </c>
      <c r="B22" s="277" t="s">
        <v>26</v>
      </c>
      <c r="C22" s="382" t="s">
        <v>99</v>
      </c>
      <c r="D22" s="275" t="s">
        <v>102</v>
      </c>
      <c r="E22" s="279" t="s">
        <v>81</v>
      </c>
      <c r="F22" s="263" t="s">
        <v>103</v>
      </c>
      <c r="G22" s="382">
        <v>6</v>
      </c>
      <c r="H22" s="373" cm="1">
        <f t="array" aca="1" ref="H22" ca="1">IF(tbPOSTOS[[#This Row],[TIPO DE POSTO]]&lt;&gt;"",INDEX(INDIRECT(CONCATENATE("'",tbPOSTOS[[#This Row],[TIPO DE POSTO]],"'!$1:$162")),MATCH("VALOR TOTAL DO POSTO",INDIRECT(CONCATENATE("'",tbPOSTOS[[#This Row],[TIPO DE POSTO]],"'!$A:$A")),0),MATCH("00 - VALOR ESTIMADO",INDIRECT(CONCATENATE("'",tbPOSTOS[[#This Row],[TIPO DE POSTO]],"'!$25:$25")),0)+1),0)</f>
        <v>5816.54</v>
      </c>
      <c r="I22" s="384">
        <f ca="1">tbPOSTOS[[#This Row],[VALOR UNITÁRIO]]*tbPOSTOS[[#This Row],[QUANTIDADE]]</f>
        <v>34899.24</v>
      </c>
      <c r="J22" s="121" t="s">
        <v>1</v>
      </c>
    </row>
    <row r="23" spans="1:10" x14ac:dyDescent="0.25">
      <c r="A23" s="274" t="s">
        <v>52</v>
      </c>
      <c r="B23" s="275" t="s">
        <v>27</v>
      </c>
      <c r="C23" s="382" t="s">
        <v>99</v>
      </c>
      <c r="D23" s="275" t="s">
        <v>104</v>
      </c>
      <c r="E23" s="276" t="s">
        <v>956</v>
      </c>
      <c r="F23" s="263" t="s">
        <v>105</v>
      </c>
      <c r="G23" s="382">
        <v>1</v>
      </c>
      <c r="H23" s="373" cm="1">
        <f t="array" aca="1" ref="H23" ca="1">IF(tbPOSTOS[[#This Row],[TIPO DE POSTO]]&lt;&gt;"",INDEX(INDIRECT(CONCATENATE("'",tbPOSTOS[[#This Row],[TIPO DE POSTO]],"'!$1:$162")),MATCH("VALOR TOTAL DO POSTO",INDIRECT(CONCATENATE("'",tbPOSTOS[[#This Row],[TIPO DE POSTO]],"'!$A:$A")),0),MATCH("00 - VALOR ESTIMADO",INDIRECT(CONCATENATE("'",tbPOSTOS[[#This Row],[TIPO DE POSTO]],"'!$25:$25")),0)+1),0)</f>
        <v>6143.08</v>
      </c>
      <c r="I23" s="384">
        <f ca="1">tbPOSTOS[[#This Row],[VALOR UNITÁRIO]]*tbPOSTOS[[#This Row],[QUANTIDADE]]</f>
        <v>6143.08</v>
      </c>
      <c r="J23" s="121" t="s">
        <v>1</v>
      </c>
    </row>
    <row r="24" spans="1:10" x14ac:dyDescent="0.25">
      <c r="A24" s="274" t="s">
        <v>52</v>
      </c>
      <c r="B24" s="275" t="s">
        <v>27</v>
      </c>
      <c r="C24" s="382" t="s">
        <v>106</v>
      </c>
      <c r="D24" s="275" t="s">
        <v>107</v>
      </c>
      <c r="E24" s="276" t="s">
        <v>956</v>
      </c>
      <c r="F24" s="263" t="s">
        <v>108</v>
      </c>
      <c r="G24" s="382">
        <v>1</v>
      </c>
      <c r="H24" s="373" cm="1">
        <f t="array" aca="1" ref="H24" ca="1">IF(tbPOSTOS[[#This Row],[TIPO DE POSTO]]&lt;&gt;"",INDEX(INDIRECT(CONCATENATE("'",tbPOSTOS[[#This Row],[TIPO DE POSTO]],"'!$1:$162")),MATCH("VALOR TOTAL DO POSTO",INDIRECT(CONCATENATE("'",tbPOSTOS[[#This Row],[TIPO DE POSTO]],"'!$A:$A")),0),MATCH("00 - VALOR ESTIMADO",INDIRECT(CONCATENATE("'",tbPOSTOS[[#This Row],[TIPO DE POSTO]],"'!$25:$25")),0)+1),0)</f>
        <v>6143.08</v>
      </c>
      <c r="I24" s="384">
        <f ca="1">tbPOSTOS[[#This Row],[VALOR UNITÁRIO]]*tbPOSTOS[[#This Row],[QUANTIDADE]]</f>
        <v>6143.08</v>
      </c>
      <c r="J24" s="121" t="s">
        <v>1</v>
      </c>
    </row>
    <row r="25" spans="1:10" x14ac:dyDescent="0.25">
      <c r="A25" s="274" t="s">
        <v>52</v>
      </c>
      <c r="B25" s="275" t="s">
        <v>25</v>
      </c>
      <c r="C25" s="382" t="s">
        <v>109</v>
      </c>
      <c r="D25" s="275" t="s">
        <v>100</v>
      </c>
      <c r="E25" s="259" t="s">
        <v>63</v>
      </c>
      <c r="F25" s="263" t="s">
        <v>110</v>
      </c>
      <c r="G25" s="382">
        <v>1</v>
      </c>
      <c r="H25" s="373" cm="1">
        <f t="array" aca="1" ref="H25" ca="1">IF(tbPOSTOS[[#This Row],[TIPO DE POSTO]]&lt;&gt;"",INDEX(INDIRECT(CONCATENATE("'",tbPOSTOS[[#This Row],[TIPO DE POSTO]],"'!$1:$162")),MATCH("VALOR TOTAL DO POSTO",INDIRECT(CONCATENATE("'",tbPOSTOS[[#This Row],[TIPO DE POSTO]],"'!$A:$A")),0),MATCH("00 - VALOR ESTIMADO",INDIRECT(CONCATENATE("'",tbPOSTOS[[#This Row],[TIPO DE POSTO]],"'!$25:$25")),0)+1),0)</f>
        <v>5073.5200000000004</v>
      </c>
      <c r="I25" s="384">
        <f ca="1">tbPOSTOS[[#This Row],[VALOR UNITÁRIO]]*tbPOSTOS[[#This Row],[QUANTIDADE]]</f>
        <v>5073.5200000000004</v>
      </c>
      <c r="J25" s="121" t="s">
        <v>1</v>
      </c>
    </row>
    <row r="26" spans="1:10" x14ac:dyDescent="0.25">
      <c r="A26" s="274" t="s">
        <v>52</v>
      </c>
      <c r="B26" s="277" t="s">
        <v>26</v>
      </c>
      <c r="C26" s="382" t="s">
        <v>109</v>
      </c>
      <c r="D26" s="275" t="s">
        <v>100</v>
      </c>
      <c r="E26" s="279" t="s">
        <v>81</v>
      </c>
      <c r="F26" s="263" t="s">
        <v>110</v>
      </c>
      <c r="G26" s="382">
        <v>3</v>
      </c>
      <c r="H26" s="373" cm="1">
        <f t="array" aca="1" ref="H26" ca="1">IF(tbPOSTOS[[#This Row],[TIPO DE POSTO]]&lt;&gt;"",INDEX(INDIRECT(CONCATENATE("'",tbPOSTOS[[#This Row],[TIPO DE POSTO]],"'!$1:$162")),MATCH("VALOR TOTAL DO POSTO",INDIRECT(CONCATENATE("'",tbPOSTOS[[#This Row],[TIPO DE POSTO]],"'!$A:$A")),0),MATCH("00 - VALOR ESTIMADO",INDIRECT(CONCATENATE("'",tbPOSTOS[[#This Row],[TIPO DE POSTO]],"'!$25:$25")),0)+1),0)</f>
        <v>5816.54</v>
      </c>
      <c r="I26" s="384">
        <f ca="1">tbPOSTOS[[#This Row],[VALOR UNITÁRIO]]*tbPOSTOS[[#This Row],[QUANTIDADE]]</f>
        <v>17449.62</v>
      </c>
      <c r="J26" s="121" t="s">
        <v>1</v>
      </c>
    </row>
    <row r="27" spans="1:10" x14ac:dyDescent="0.25">
      <c r="A27" s="274" t="s">
        <v>52</v>
      </c>
      <c r="B27" s="275" t="s">
        <v>25</v>
      </c>
      <c r="C27" s="382" t="s">
        <v>111</v>
      </c>
      <c r="D27" s="275" t="s">
        <v>112</v>
      </c>
      <c r="E27" s="259" t="s">
        <v>63</v>
      </c>
      <c r="F27" s="263" t="s">
        <v>113</v>
      </c>
      <c r="G27" s="382">
        <v>2</v>
      </c>
      <c r="H27" s="373" cm="1">
        <f t="array" aca="1" ref="H27" ca="1">IF(tbPOSTOS[[#This Row],[TIPO DE POSTO]]&lt;&gt;"",INDEX(INDIRECT(CONCATENATE("'",tbPOSTOS[[#This Row],[TIPO DE POSTO]],"'!$1:$162")),MATCH("VALOR TOTAL DO POSTO",INDIRECT(CONCATENATE("'",tbPOSTOS[[#This Row],[TIPO DE POSTO]],"'!$A:$A")),0),MATCH("00 - VALOR ESTIMADO",INDIRECT(CONCATENATE("'",tbPOSTOS[[#This Row],[TIPO DE POSTO]],"'!$25:$25")),0)+1),0)</f>
        <v>5073.5200000000004</v>
      </c>
      <c r="I27" s="384">
        <f ca="1">tbPOSTOS[[#This Row],[VALOR UNITÁRIO]]*tbPOSTOS[[#This Row],[QUANTIDADE]]</f>
        <v>10147.040000000001</v>
      </c>
      <c r="J27" s="121" t="s">
        <v>1</v>
      </c>
    </row>
    <row r="28" spans="1:10" x14ac:dyDescent="0.25">
      <c r="A28" s="274" t="s">
        <v>52</v>
      </c>
      <c r="B28" s="277" t="s">
        <v>26</v>
      </c>
      <c r="C28" s="382" t="s">
        <v>111</v>
      </c>
      <c r="D28" s="275" t="s">
        <v>112</v>
      </c>
      <c r="E28" s="279" t="s">
        <v>81</v>
      </c>
      <c r="F28" s="263" t="s">
        <v>113</v>
      </c>
      <c r="G28" s="382">
        <v>2</v>
      </c>
      <c r="H28" s="373" cm="1">
        <f t="array" aca="1" ref="H28" ca="1">IF(tbPOSTOS[[#This Row],[TIPO DE POSTO]]&lt;&gt;"",INDEX(INDIRECT(CONCATENATE("'",tbPOSTOS[[#This Row],[TIPO DE POSTO]],"'!$1:$162")),MATCH("VALOR TOTAL DO POSTO",INDIRECT(CONCATENATE("'",tbPOSTOS[[#This Row],[TIPO DE POSTO]],"'!$A:$A")),0),MATCH("00 - VALOR ESTIMADO",INDIRECT(CONCATENATE("'",tbPOSTOS[[#This Row],[TIPO DE POSTO]],"'!$25:$25")),0)+1),0)</f>
        <v>5816.54</v>
      </c>
      <c r="I28" s="384">
        <f ca="1">tbPOSTOS[[#This Row],[VALOR UNITÁRIO]]*tbPOSTOS[[#This Row],[QUANTIDADE]]</f>
        <v>11633.08</v>
      </c>
      <c r="J28" s="121" t="s">
        <v>1</v>
      </c>
    </row>
    <row r="29" spans="1:10" x14ac:dyDescent="0.25">
      <c r="A29" s="274" t="s">
        <v>52</v>
      </c>
      <c r="B29" s="275" t="s">
        <v>27</v>
      </c>
      <c r="C29" s="382" t="s">
        <v>111</v>
      </c>
      <c r="D29" s="275" t="s">
        <v>112</v>
      </c>
      <c r="E29" s="276" t="s">
        <v>956</v>
      </c>
      <c r="F29" s="263" t="s">
        <v>113</v>
      </c>
      <c r="G29" s="382">
        <v>1</v>
      </c>
      <c r="H29" s="373" cm="1">
        <f t="array" aca="1" ref="H29" ca="1">IF(tbPOSTOS[[#This Row],[TIPO DE POSTO]]&lt;&gt;"",INDEX(INDIRECT(CONCATENATE("'",tbPOSTOS[[#This Row],[TIPO DE POSTO]],"'!$1:$162")),MATCH("VALOR TOTAL DO POSTO",INDIRECT(CONCATENATE("'",tbPOSTOS[[#This Row],[TIPO DE POSTO]],"'!$A:$A")),0),MATCH("00 - VALOR ESTIMADO",INDIRECT(CONCATENATE("'",tbPOSTOS[[#This Row],[TIPO DE POSTO]],"'!$25:$25")),0)+1),0)</f>
        <v>6143.08</v>
      </c>
      <c r="I29" s="384">
        <f ca="1">tbPOSTOS[[#This Row],[VALOR UNITÁRIO]]*tbPOSTOS[[#This Row],[QUANTIDADE]]</f>
        <v>6143.08</v>
      </c>
      <c r="J29" s="121" t="s">
        <v>1</v>
      </c>
    </row>
    <row r="30" spans="1:10" x14ac:dyDescent="0.25">
      <c r="A30" s="274" t="s">
        <v>52</v>
      </c>
      <c r="B30" s="275" t="s">
        <v>25</v>
      </c>
      <c r="C30" s="382" t="s">
        <v>114</v>
      </c>
      <c r="D30" s="275" t="s">
        <v>115</v>
      </c>
      <c r="E30" s="259" t="s">
        <v>63</v>
      </c>
      <c r="F30" s="263" t="s">
        <v>116</v>
      </c>
      <c r="G30" s="382">
        <v>2</v>
      </c>
      <c r="H30" s="373" cm="1">
        <f t="array" aca="1" ref="H30" ca="1">IF(tbPOSTOS[[#This Row],[TIPO DE POSTO]]&lt;&gt;"",INDEX(INDIRECT(CONCATENATE("'",tbPOSTOS[[#This Row],[TIPO DE POSTO]],"'!$1:$162")),MATCH("VALOR TOTAL DO POSTO",INDIRECT(CONCATENATE("'",tbPOSTOS[[#This Row],[TIPO DE POSTO]],"'!$A:$A")),0),MATCH("00 - VALOR ESTIMADO",INDIRECT(CONCATENATE("'",tbPOSTOS[[#This Row],[TIPO DE POSTO]],"'!$25:$25")),0)+1),0)</f>
        <v>5073.5200000000004</v>
      </c>
      <c r="I30" s="384">
        <f ca="1">tbPOSTOS[[#This Row],[VALOR UNITÁRIO]]*tbPOSTOS[[#This Row],[QUANTIDADE]]</f>
        <v>10147.040000000001</v>
      </c>
      <c r="J30" s="121" t="s">
        <v>1</v>
      </c>
    </row>
    <row r="31" spans="1:10" x14ac:dyDescent="0.25">
      <c r="A31" s="274" t="s">
        <v>52</v>
      </c>
      <c r="B31" s="277" t="s">
        <v>26</v>
      </c>
      <c r="C31" s="382" t="s">
        <v>114</v>
      </c>
      <c r="D31" s="275" t="s">
        <v>115</v>
      </c>
      <c r="E31" s="279" t="s">
        <v>81</v>
      </c>
      <c r="F31" s="263" t="s">
        <v>116</v>
      </c>
      <c r="G31" s="382">
        <v>2</v>
      </c>
      <c r="H31" s="373" cm="1">
        <f t="array" aca="1" ref="H31" ca="1">IF(tbPOSTOS[[#This Row],[TIPO DE POSTO]]&lt;&gt;"",INDEX(INDIRECT(CONCATENATE("'",tbPOSTOS[[#This Row],[TIPO DE POSTO]],"'!$1:$162")),MATCH("VALOR TOTAL DO POSTO",INDIRECT(CONCATENATE("'",tbPOSTOS[[#This Row],[TIPO DE POSTO]],"'!$A:$A")),0),MATCH("00 - VALOR ESTIMADO",INDIRECT(CONCATENATE("'",tbPOSTOS[[#This Row],[TIPO DE POSTO]],"'!$25:$25")),0)+1),0)</f>
        <v>5816.54</v>
      </c>
      <c r="I31" s="384">
        <f ca="1">tbPOSTOS[[#This Row],[VALOR UNITÁRIO]]*tbPOSTOS[[#This Row],[QUANTIDADE]]</f>
        <v>11633.08</v>
      </c>
      <c r="J31" s="121" t="s">
        <v>1</v>
      </c>
    </row>
    <row r="32" spans="1:10" x14ac:dyDescent="0.25">
      <c r="A32" s="274" t="s">
        <v>52</v>
      </c>
      <c r="B32" s="277" t="s">
        <v>29</v>
      </c>
      <c r="C32" s="382" t="s">
        <v>111</v>
      </c>
      <c r="D32" s="275" t="s">
        <v>112</v>
      </c>
      <c r="E32" s="251" t="s">
        <v>117</v>
      </c>
      <c r="F32" s="263" t="s">
        <v>118</v>
      </c>
      <c r="G32" s="382">
        <v>3</v>
      </c>
      <c r="H32" s="373" cm="1">
        <f t="array" aca="1" ref="H32" ca="1">IF(tbPOSTOS[[#This Row],[TIPO DE POSTO]]&lt;&gt;"",INDEX(INDIRECT(CONCATENATE("'",tbPOSTOS[[#This Row],[TIPO DE POSTO]],"'!$1:$162")),MATCH("VALOR TOTAL DO POSTO",INDIRECT(CONCATENATE("'",tbPOSTOS[[#This Row],[TIPO DE POSTO]],"'!$A:$A")),0),MATCH("00 - VALOR ESTIMADO",INDIRECT(CONCATENATE("'",tbPOSTOS[[#This Row],[TIPO DE POSTO]],"'!$25:$25")),0)+1),0)</f>
        <v>7092.57</v>
      </c>
      <c r="I32" s="384">
        <f ca="1">tbPOSTOS[[#This Row],[VALOR UNITÁRIO]]*tbPOSTOS[[#This Row],[QUANTIDADE]]</f>
        <v>21277.71</v>
      </c>
      <c r="J32" s="121" t="s">
        <v>1</v>
      </c>
    </row>
    <row r="33" spans="1:10" x14ac:dyDescent="0.25">
      <c r="A33" s="274" t="s">
        <v>52</v>
      </c>
      <c r="B33" s="277" t="s">
        <v>30</v>
      </c>
      <c r="C33" s="382" t="s">
        <v>83</v>
      </c>
      <c r="D33" s="275" t="s">
        <v>84</v>
      </c>
      <c r="E33" s="251" t="s">
        <v>119</v>
      </c>
      <c r="F33" s="263" t="s">
        <v>85</v>
      </c>
      <c r="G33" s="382">
        <v>1</v>
      </c>
      <c r="H33" s="373" cm="1">
        <f t="array" aca="1" ref="H33" ca="1">IF(tbPOSTOS[[#This Row],[TIPO DE POSTO]]&lt;&gt;"",INDEX(INDIRECT(CONCATENATE("'",tbPOSTOS[[#This Row],[TIPO DE POSTO]],"'!$1:$162")),MATCH("VALOR TOTAL DO POSTO",INDIRECT(CONCATENATE("'",tbPOSTOS[[#This Row],[TIPO DE POSTO]],"'!$A:$A")),0),MATCH("00 - VALOR ESTIMADO",INDIRECT(CONCATENATE("'",tbPOSTOS[[#This Row],[TIPO DE POSTO]],"'!$25:$25")),0)+1),0)</f>
        <v>7092.57</v>
      </c>
      <c r="I33" s="384">
        <f ca="1">tbPOSTOS[[#This Row],[VALOR UNITÁRIO]]*tbPOSTOS[[#This Row],[QUANTIDADE]]</f>
        <v>7092.57</v>
      </c>
      <c r="J33" s="121" t="s">
        <v>1</v>
      </c>
    </row>
    <row r="34" spans="1:10" x14ac:dyDescent="0.25">
      <c r="A34" s="274" t="s">
        <v>52</v>
      </c>
      <c r="B34" s="277" t="s">
        <v>30</v>
      </c>
      <c r="C34" s="263" t="s">
        <v>65</v>
      </c>
      <c r="D34" s="275" t="s">
        <v>66</v>
      </c>
      <c r="E34" s="251" t="s">
        <v>119</v>
      </c>
      <c r="F34" s="263" t="s">
        <v>120</v>
      </c>
      <c r="G34" s="382">
        <v>1</v>
      </c>
      <c r="H34" s="373" cm="1">
        <f t="array" aca="1" ref="H34" ca="1">IF(tbPOSTOS[[#This Row],[TIPO DE POSTO]]&lt;&gt;"",INDEX(INDIRECT(CONCATENATE("'",tbPOSTOS[[#This Row],[TIPO DE POSTO]],"'!$1:$162")),MATCH("VALOR TOTAL DO POSTO",INDIRECT(CONCATENATE("'",tbPOSTOS[[#This Row],[TIPO DE POSTO]],"'!$A:$A")),0),MATCH("00 - VALOR ESTIMADO",INDIRECT(CONCATENATE("'",tbPOSTOS[[#This Row],[TIPO DE POSTO]],"'!$25:$25")),0)+1),0)</f>
        <v>7092.57</v>
      </c>
      <c r="I34" s="384">
        <f ca="1">tbPOSTOS[[#This Row],[VALOR UNITÁRIO]]*tbPOSTOS[[#This Row],[QUANTIDADE]]</f>
        <v>7092.57</v>
      </c>
      <c r="J34" s="121" t="s">
        <v>1</v>
      </c>
    </row>
    <row r="35" spans="1:10" x14ac:dyDescent="0.25">
      <c r="A35" s="274" t="s">
        <v>53</v>
      </c>
      <c r="B35" s="277" t="s">
        <v>26</v>
      </c>
      <c r="C35" s="382" t="s">
        <v>99</v>
      </c>
      <c r="D35" s="275" t="s">
        <v>121</v>
      </c>
      <c r="E35" s="354" t="s">
        <v>1160</v>
      </c>
      <c r="F35" s="263" t="s">
        <v>122</v>
      </c>
      <c r="G35" s="382">
        <v>2</v>
      </c>
      <c r="H35" s="373" cm="1">
        <f t="array" aca="1" ref="H35" ca="1">IF(tbPOSTOS[[#This Row],[TIPO DE POSTO]]&lt;&gt;"",INDEX(INDIRECT(CONCATENATE("'",tbPOSTOS[[#This Row],[TIPO DE POSTO]],"'!$1:$162")),MATCH("VALOR TOTAL DO POSTO",INDIRECT(CONCATENATE("'",tbPOSTOS[[#This Row],[TIPO DE POSTO]],"'!$A:$A")),0),MATCH("00 - VALOR ESTIMADO",INDIRECT(CONCATENATE("'",tbPOSTOS[[#This Row],[TIPO DE POSTO]],"'!$25:$25")),0)+1),0)</f>
        <v>5481.06</v>
      </c>
      <c r="I35" s="384">
        <f ca="1">tbPOSTOS[[#This Row],[VALOR UNITÁRIO]]*tbPOSTOS[[#This Row],[QUANTIDADE]]</f>
        <v>10962.12</v>
      </c>
      <c r="J35" s="121" t="s">
        <v>1</v>
      </c>
    </row>
    <row r="36" spans="1:10" x14ac:dyDescent="0.25">
      <c r="A36" s="274" t="s">
        <v>49</v>
      </c>
      <c r="B36" s="277" t="s">
        <v>26</v>
      </c>
      <c r="C36" s="382" t="s">
        <v>123</v>
      </c>
      <c r="D36" s="275" t="s">
        <v>124</v>
      </c>
      <c r="E36" s="280" t="s">
        <v>125</v>
      </c>
      <c r="F36" s="263" t="s">
        <v>126</v>
      </c>
      <c r="G36" s="382">
        <v>1</v>
      </c>
      <c r="H36" s="373" cm="1">
        <f t="array" aca="1" ref="H36" ca="1">IF(tbPOSTOS[[#This Row],[TIPO DE POSTO]]&lt;&gt;"",INDEX(INDIRECT(CONCATENATE("'",tbPOSTOS[[#This Row],[TIPO DE POSTO]],"'!$1:$162")),MATCH("VALOR TOTAL DO POSTO",INDIRECT(CONCATENATE("'",tbPOSTOS[[#This Row],[TIPO DE POSTO]],"'!$A:$A")),0),MATCH("00 - VALOR ESTIMADO",INDIRECT(CONCATENATE("'",tbPOSTOS[[#This Row],[TIPO DE POSTO]],"'!$25:$25")),0)+1),0)</f>
        <v>5805.53</v>
      </c>
      <c r="I36" s="384">
        <f ca="1">tbPOSTOS[[#This Row],[VALOR UNITÁRIO]]*tbPOSTOS[[#This Row],[QUANTIDADE]]</f>
        <v>5805.53</v>
      </c>
      <c r="J36" s="121" t="s">
        <v>1</v>
      </c>
    </row>
    <row r="37" spans="1:10" x14ac:dyDescent="0.25">
      <c r="A37" s="281" t="s">
        <v>127</v>
      </c>
      <c r="B37" s="265"/>
      <c r="C37" s="265"/>
      <c r="D37" s="265"/>
      <c r="E37" s="265"/>
      <c r="F37" s="265"/>
      <c r="G37" s="265">
        <f>SUBTOTAL(109,tbPOSTOS[QUANTIDADE])</f>
        <v>62</v>
      </c>
      <c r="H37" s="282"/>
      <c r="I37" s="353">
        <f ca="1">SUBTOTAL(109,tbPOSTOS[VALOR MENSAL])</f>
        <v>365642.98000000004</v>
      </c>
      <c r="J37" s="266"/>
    </row>
  </sheetData>
  <dataConsolidate topLabels="1">
    <dataRefs count="1">
      <dataRef ref="A1:E44" sheet="POSTOS POR UNIDADE"/>
    </dataRefs>
  </dataConsolidate>
  <mergeCells count="1">
    <mergeCell ref="A1:J1"/>
  </mergeCells>
  <phoneticPr fontId="25" type="noConversion"/>
  <pageMargins left="0.511811024" right="0.511811024" top="0.78740157499999996" bottom="0.78740157499999996" header="0.31496062000000002" footer="0.31496062000000002"/>
  <pageSetup paperSize="9" scale="5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8A404-EEBF-4610-B750-B95D3635A736}">
  <sheetPr>
    <tabColor rgb="FF92D050"/>
    <pageSetUpPr fitToPage="1"/>
  </sheetPr>
  <dimension ref="A1:L1586"/>
  <sheetViews>
    <sheetView topLeftCell="D3" workbookViewId="0">
      <selection activeCell="H71" sqref="H71:H75"/>
    </sheetView>
  </sheetViews>
  <sheetFormatPr defaultColWidth="8.85546875" defaultRowHeight="15" x14ac:dyDescent="0.25"/>
  <cols>
    <col min="1" max="1" width="22.7109375" customWidth="1"/>
    <col min="2" max="2" width="48.5703125" bestFit="1" customWidth="1"/>
    <col min="3" max="3" width="12.28515625" style="227" customWidth="1"/>
    <col min="4" max="4" width="22" style="227" customWidth="1"/>
    <col min="5" max="5" width="47.42578125" customWidth="1"/>
    <col min="6" max="6" width="15.7109375" customWidth="1"/>
    <col min="7" max="7" width="27.42578125" customWidth="1"/>
    <col min="8" max="8" width="21" customWidth="1"/>
  </cols>
  <sheetData>
    <row r="1" spans="1:12" s="38" customFormat="1" ht="40.5" customHeight="1" x14ac:dyDescent="0.25">
      <c r="A1" s="434" t="s">
        <v>128</v>
      </c>
      <c r="B1" s="434"/>
      <c r="C1" s="434"/>
      <c r="D1" s="434"/>
      <c r="E1" s="37"/>
      <c r="F1" s="37"/>
      <c r="G1" s="37"/>
    </row>
    <row r="3" spans="1:12" x14ac:dyDescent="0.25">
      <c r="A3" s="398" t="s">
        <v>54</v>
      </c>
      <c r="B3" s="399" t="s">
        <v>55</v>
      </c>
      <c r="C3" s="400" t="s">
        <v>129</v>
      </c>
      <c r="D3" s="400" t="s">
        <v>130</v>
      </c>
      <c r="E3" s="406" t="s">
        <v>131</v>
      </c>
      <c r="F3" s="406" t="s">
        <v>132</v>
      </c>
      <c r="G3" s="406" t="s">
        <v>60</v>
      </c>
      <c r="H3" s="407" t="s">
        <v>6</v>
      </c>
    </row>
    <row r="4" spans="1:12" hidden="1" x14ac:dyDescent="0.25">
      <c r="A4" s="228" t="s">
        <v>2</v>
      </c>
      <c r="B4" s="229" t="s">
        <v>61</v>
      </c>
      <c r="C4" s="230" t="s">
        <v>133</v>
      </c>
      <c r="D4" s="230"/>
      <c r="E4" s="229" t="s">
        <v>9</v>
      </c>
      <c r="F4" s="231">
        <v>222.39</v>
      </c>
      <c r="G4" s="229" t="s">
        <v>1</v>
      </c>
      <c r="H4" s="405">
        <f ca="1">INDEX(PRODUTIVIDADES!$M:$M,MATCH(tbAREAS[[#This Row],[TIPO DE ÁREA]],PRODUTIVIDADES!$B:$B,0)+MATCH(tbAREAS[[#This Row],[LOCALIDADE]],PRODUTIVIDADES!$A:$A,0)-3)*tbAREAS[[#This Row],[ÁREA EM M²]]</f>
        <v>1734.6419999999998</v>
      </c>
    </row>
    <row r="5" spans="1:12" hidden="1" x14ac:dyDescent="0.25">
      <c r="A5" s="228" t="s">
        <v>2</v>
      </c>
      <c r="B5" s="229" t="s">
        <v>61</v>
      </c>
      <c r="C5" s="230" t="s">
        <v>133</v>
      </c>
      <c r="D5" s="230"/>
      <c r="E5" s="232" t="s">
        <v>10</v>
      </c>
      <c r="F5" s="231">
        <v>800</v>
      </c>
      <c r="G5" s="229" t="s">
        <v>1</v>
      </c>
      <c r="H5" s="405">
        <f ca="1">INDEX(PRODUTIVIDADES!$M:$M,MATCH(tbAREAS[[#This Row],[TIPO DE ÁREA]],PRODUTIVIDADES!$B:$B,0)+MATCH(tbAREAS[[#This Row],[LOCALIDADE]],PRODUTIVIDADES!$A:$A,0)-3)*tbAREAS[[#This Row],[ÁREA EM M²]]</f>
        <v>2496</v>
      </c>
      <c r="L5" s="391"/>
    </row>
    <row r="6" spans="1:12" hidden="1" x14ac:dyDescent="0.25">
      <c r="A6" s="228" t="s">
        <v>2</v>
      </c>
      <c r="B6" s="229" t="s">
        <v>61</v>
      </c>
      <c r="C6" s="230" t="s">
        <v>133</v>
      </c>
      <c r="D6" s="230"/>
      <c r="E6" s="232" t="s">
        <v>13</v>
      </c>
      <c r="F6" s="231">
        <v>52.21</v>
      </c>
      <c r="G6" s="229" t="s">
        <v>1</v>
      </c>
      <c r="H6" s="405">
        <f ca="1">INDEX(PRODUTIVIDADES!$M:$M,MATCH(tbAREAS[[#This Row],[TIPO DE ÁREA]],PRODUTIVIDADES!$B:$B,0)+MATCH(tbAREAS[[#This Row],[LOCALIDADE]],PRODUTIVIDADES!$A:$A,0)-3)*tbAREAS[[#This Row],[ÁREA EM M²]]</f>
        <v>162.89520000000002</v>
      </c>
      <c r="L6" s="391"/>
    </row>
    <row r="7" spans="1:12" hidden="1" x14ac:dyDescent="0.25">
      <c r="A7" s="228" t="s">
        <v>2</v>
      </c>
      <c r="B7" s="229" t="s">
        <v>61</v>
      </c>
      <c r="C7" s="230" t="s">
        <v>133</v>
      </c>
      <c r="D7" s="233"/>
      <c r="E7" s="229" t="s">
        <v>14</v>
      </c>
      <c r="F7" s="231">
        <v>53.56</v>
      </c>
      <c r="G7" s="229" t="s">
        <v>1</v>
      </c>
      <c r="H7" s="405">
        <f ca="1">INDEX(PRODUTIVIDADES!$M:$M,MATCH(tbAREAS[[#This Row],[TIPO DE ÁREA]],PRODUTIVIDADES!$B:$B,0)+MATCH(tbAREAS[[#This Row],[LOCALIDADE]],PRODUTIVIDADES!$A:$A,0)-3)*tbAREAS[[#This Row],[ÁREA EM M²]]</f>
        <v>455.26</v>
      </c>
      <c r="L7" s="391"/>
    </row>
    <row r="8" spans="1:12" hidden="1" x14ac:dyDescent="0.25">
      <c r="A8" s="228" t="s">
        <v>2</v>
      </c>
      <c r="B8" s="229" t="s">
        <v>61</v>
      </c>
      <c r="C8" s="230" t="s">
        <v>134</v>
      </c>
      <c r="D8" s="230" t="s">
        <v>135</v>
      </c>
      <c r="E8" s="229" t="s">
        <v>9</v>
      </c>
      <c r="F8" s="231">
        <v>2709.29</v>
      </c>
      <c r="G8" s="229" t="s">
        <v>1</v>
      </c>
      <c r="H8" s="405">
        <f ca="1">INDEX(PRODUTIVIDADES!$M:$M,MATCH(tbAREAS[[#This Row],[TIPO DE ÁREA]],PRODUTIVIDADES!$B:$B,0)+MATCH(tbAREAS[[#This Row],[LOCALIDADE]],PRODUTIVIDADES!$A:$A,0)-3)*tbAREAS[[#This Row],[ÁREA EM M²]]</f>
        <v>21132.462</v>
      </c>
      <c r="L8" s="391"/>
    </row>
    <row r="9" spans="1:12" hidden="1" x14ac:dyDescent="0.25">
      <c r="A9" s="228" t="s">
        <v>2</v>
      </c>
      <c r="B9" s="229" t="s">
        <v>61</v>
      </c>
      <c r="C9" s="230" t="s">
        <v>134</v>
      </c>
      <c r="D9" s="230" t="s">
        <v>135</v>
      </c>
      <c r="E9" s="232" t="s">
        <v>10</v>
      </c>
      <c r="F9" s="231">
        <v>960.52</v>
      </c>
      <c r="G9" s="229" t="s">
        <v>1</v>
      </c>
      <c r="H9" s="405">
        <f ca="1">INDEX(PRODUTIVIDADES!$M:$M,MATCH(tbAREAS[[#This Row],[TIPO DE ÁREA]],PRODUTIVIDADES!$B:$B,0)+MATCH(tbAREAS[[#This Row],[LOCALIDADE]],PRODUTIVIDADES!$A:$A,0)-3)*tbAREAS[[#This Row],[ÁREA EM M²]]</f>
        <v>2996.8224</v>
      </c>
      <c r="L9" s="391"/>
    </row>
    <row r="10" spans="1:12" hidden="1" x14ac:dyDescent="0.25">
      <c r="A10" s="228" t="s">
        <v>2</v>
      </c>
      <c r="B10" s="229" t="s">
        <v>61</v>
      </c>
      <c r="C10" s="230" t="s">
        <v>134</v>
      </c>
      <c r="D10" s="230" t="s">
        <v>135</v>
      </c>
      <c r="E10" s="229" t="s">
        <v>14</v>
      </c>
      <c r="F10" s="231">
        <v>850.3</v>
      </c>
      <c r="G10" s="229" t="s">
        <v>1</v>
      </c>
      <c r="H10" s="405">
        <f ca="1">INDEX(PRODUTIVIDADES!$M:$M,MATCH(tbAREAS[[#This Row],[TIPO DE ÁREA]],PRODUTIVIDADES!$B:$B,0)+MATCH(tbAREAS[[#This Row],[LOCALIDADE]],PRODUTIVIDADES!$A:$A,0)-3)*tbAREAS[[#This Row],[ÁREA EM M²]]</f>
        <v>7227.5499999999993</v>
      </c>
      <c r="L10" s="391"/>
    </row>
    <row r="11" spans="1:12" hidden="1" x14ac:dyDescent="0.25">
      <c r="A11" s="228" t="s">
        <v>2</v>
      </c>
      <c r="B11" s="229" t="s">
        <v>61</v>
      </c>
      <c r="C11" s="230" t="s">
        <v>134</v>
      </c>
      <c r="D11" s="230" t="s">
        <v>135</v>
      </c>
      <c r="E11" s="229" t="s">
        <v>17</v>
      </c>
      <c r="F11" s="231">
        <v>2013.45</v>
      </c>
      <c r="G11" s="229" t="s">
        <v>1</v>
      </c>
      <c r="H11" s="405">
        <f ca="1">INDEX(PRODUTIVIDADES!$M:$M,MATCH(tbAREAS[[#This Row],[TIPO DE ÁREA]],PRODUTIVIDADES!$B:$B,0)+MATCH(tbAREAS[[#This Row],[LOCALIDADE]],PRODUTIVIDADES!$A:$A,0)-3)*tbAREAS[[#This Row],[ÁREA EM M²]]</f>
        <v>4711.473</v>
      </c>
      <c r="L11" s="391"/>
    </row>
    <row r="12" spans="1:12" hidden="1" x14ac:dyDescent="0.25">
      <c r="A12" s="228" t="s">
        <v>2</v>
      </c>
      <c r="B12" s="229" t="s">
        <v>61</v>
      </c>
      <c r="C12" s="230" t="s">
        <v>134</v>
      </c>
      <c r="D12" s="230" t="s">
        <v>135</v>
      </c>
      <c r="E12" s="229" t="s">
        <v>18</v>
      </c>
      <c r="F12" s="231">
        <v>251.63</v>
      </c>
      <c r="G12" s="229" t="s">
        <v>1</v>
      </c>
      <c r="H12" s="405">
        <f ca="1">INDEX(PRODUTIVIDADES!$M:$M,MATCH(tbAREAS[[#This Row],[TIPO DE ÁREA]],PRODUTIVIDADES!$B:$B,0)+MATCH(tbAREAS[[#This Row],[LOCALIDADE]],PRODUTIVIDADES!$A:$A,0)-3)*tbAREAS[[#This Row],[ÁREA EM M²]]</f>
        <v>11411.4205</v>
      </c>
      <c r="L12" s="391"/>
    </row>
    <row r="13" spans="1:12" hidden="1" x14ac:dyDescent="0.25">
      <c r="A13" s="228" t="s">
        <v>2</v>
      </c>
      <c r="B13" s="229" t="s">
        <v>61</v>
      </c>
      <c r="C13" s="230" t="s">
        <v>134</v>
      </c>
      <c r="D13" s="230" t="s">
        <v>135</v>
      </c>
      <c r="E13" s="229" t="s">
        <v>21</v>
      </c>
      <c r="F13" s="231">
        <v>1580</v>
      </c>
      <c r="G13" s="229" t="s">
        <v>1</v>
      </c>
      <c r="H13" s="405">
        <f ca="1">INDEX(PRODUTIVIDADES!$M:$M,MATCH(tbAREAS[[#This Row],[TIPO DE ÁREA]],PRODUTIVIDADES!$B:$B,0)+MATCH(tbAREAS[[#This Row],[LOCALIDADE]],PRODUTIVIDADES!$A:$A,0)-3)*tbAREAS[[#This Row],[ÁREA EM M²]]</f>
        <v>268.60000000000002</v>
      </c>
      <c r="L13" s="391"/>
    </row>
    <row r="14" spans="1:12" hidden="1" x14ac:dyDescent="0.25">
      <c r="A14" s="228" t="s">
        <v>2</v>
      </c>
      <c r="B14" s="229" t="s">
        <v>61</v>
      </c>
      <c r="C14" s="230" t="s">
        <v>134</v>
      </c>
      <c r="D14" s="230" t="s">
        <v>135</v>
      </c>
      <c r="E14" s="229" t="s">
        <v>22</v>
      </c>
      <c r="F14" s="231">
        <v>1580</v>
      </c>
      <c r="G14" s="229" t="s">
        <v>1</v>
      </c>
      <c r="H14" s="405">
        <f ca="1">INDEX(PRODUTIVIDADES!$M:$M,MATCH(tbAREAS[[#This Row],[TIPO DE ÁREA]],PRODUTIVIDADES!$B:$B,0)+MATCH(tbAREAS[[#This Row],[LOCALIDADE]],PRODUTIVIDADES!$A:$A,0)-3)*tbAREAS[[#This Row],[ÁREA EM M²]]</f>
        <v>632</v>
      </c>
      <c r="L14" s="391"/>
    </row>
    <row r="15" spans="1:12" hidden="1" x14ac:dyDescent="0.25">
      <c r="A15" s="228" t="s">
        <v>2</v>
      </c>
      <c r="B15" s="229" t="s">
        <v>61</v>
      </c>
      <c r="C15" s="230" t="s">
        <v>136</v>
      </c>
      <c r="D15" s="230" t="s">
        <v>137</v>
      </c>
      <c r="E15" s="229" t="s">
        <v>9</v>
      </c>
      <c r="F15" s="231">
        <v>553.54</v>
      </c>
      <c r="G15" s="229" t="s">
        <v>1</v>
      </c>
      <c r="H15" s="405">
        <f ca="1">INDEX(PRODUTIVIDADES!$M:$M,MATCH(tbAREAS[[#This Row],[TIPO DE ÁREA]],PRODUTIVIDADES!$B:$B,0)+MATCH(tbAREAS[[#This Row],[LOCALIDADE]],PRODUTIVIDADES!$A:$A,0)-3)*tbAREAS[[#This Row],[ÁREA EM M²]]</f>
        <v>4317.6119999999992</v>
      </c>
      <c r="L15" s="391"/>
    </row>
    <row r="16" spans="1:12" hidden="1" x14ac:dyDescent="0.25">
      <c r="A16" s="228" t="s">
        <v>2</v>
      </c>
      <c r="B16" s="229" t="s">
        <v>61</v>
      </c>
      <c r="C16" s="230" t="s">
        <v>136</v>
      </c>
      <c r="D16" s="230" t="s">
        <v>137</v>
      </c>
      <c r="E16" s="232" t="s">
        <v>10</v>
      </c>
      <c r="F16" s="231">
        <v>472.45</v>
      </c>
      <c r="G16" s="229" t="s">
        <v>1</v>
      </c>
      <c r="H16" s="405">
        <f ca="1">INDEX(PRODUTIVIDADES!$M:$M,MATCH(tbAREAS[[#This Row],[TIPO DE ÁREA]],PRODUTIVIDADES!$B:$B,0)+MATCH(tbAREAS[[#This Row],[LOCALIDADE]],PRODUTIVIDADES!$A:$A,0)-3)*tbAREAS[[#This Row],[ÁREA EM M²]]</f>
        <v>1474.0440000000001</v>
      </c>
      <c r="L16" s="391"/>
    </row>
    <row r="17" spans="1:12" hidden="1" x14ac:dyDescent="0.25">
      <c r="A17" s="228" t="s">
        <v>2</v>
      </c>
      <c r="B17" s="229" t="s">
        <v>61</v>
      </c>
      <c r="C17" s="230" t="s">
        <v>136</v>
      </c>
      <c r="D17" s="230" t="s">
        <v>137</v>
      </c>
      <c r="E17" s="229" t="s">
        <v>14</v>
      </c>
      <c r="F17" s="231">
        <v>73</v>
      </c>
      <c r="G17" s="229" t="s">
        <v>1</v>
      </c>
      <c r="H17" s="405">
        <f ca="1">INDEX(PRODUTIVIDADES!$M:$M,MATCH(tbAREAS[[#This Row],[TIPO DE ÁREA]],PRODUTIVIDADES!$B:$B,0)+MATCH(tbAREAS[[#This Row],[LOCALIDADE]],PRODUTIVIDADES!$A:$A,0)-3)*tbAREAS[[#This Row],[ÁREA EM M²]]</f>
        <v>620.5</v>
      </c>
      <c r="L17" s="391"/>
    </row>
    <row r="18" spans="1:12" hidden="1" x14ac:dyDescent="0.25">
      <c r="A18" s="228" t="s">
        <v>2</v>
      </c>
      <c r="B18" s="229" t="s">
        <v>61</v>
      </c>
      <c r="C18" s="230" t="s">
        <v>136</v>
      </c>
      <c r="D18" s="230" t="s">
        <v>137</v>
      </c>
      <c r="E18" s="229" t="s">
        <v>15</v>
      </c>
      <c r="F18" s="231">
        <v>9.6</v>
      </c>
      <c r="G18" s="229" t="s">
        <v>1</v>
      </c>
      <c r="H18" s="405">
        <f ca="1">INDEX(PRODUTIVIDADES!$M:$M,MATCH(tbAREAS[[#This Row],[TIPO DE ÁREA]],PRODUTIVIDADES!$B:$B,0)+MATCH(tbAREAS[[#This Row],[LOCALIDADE]],PRODUTIVIDADES!$A:$A,0)-3)*tbAREAS[[#This Row],[ÁREA EM M²]]</f>
        <v>6.6239999999999997</v>
      </c>
      <c r="L18" s="391"/>
    </row>
    <row r="19" spans="1:12" hidden="1" x14ac:dyDescent="0.25">
      <c r="A19" s="228" t="s">
        <v>2</v>
      </c>
      <c r="B19" s="229" t="s">
        <v>61</v>
      </c>
      <c r="C19" s="230" t="s">
        <v>136</v>
      </c>
      <c r="D19" s="230" t="s">
        <v>137</v>
      </c>
      <c r="E19" s="229" t="s">
        <v>17</v>
      </c>
      <c r="F19" s="231">
        <v>668.54</v>
      </c>
      <c r="G19" s="229" t="s">
        <v>1</v>
      </c>
      <c r="H19" s="405">
        <f ca="1">INDEX(PRODUTIVIDADES!$M:$M,MATCH(tbAREAS[[#This Row],[TIPO DE ÁREA]],PRODUTIVIDADES!$B:$B,0)+MATCH(tbAREAS[[#This Row],[LOCALIDADE]],PRODUTIVIDADES!$A:$A,0)-3)*tbAREAS[[#This Row],[ÁREA EM M²]]</f>
        <v>1564.3835999999999</v>
      </c>
      <c r="L19" s="391"/>
    </row>
    <row r="20" spans="1:12" hidden="1" x14ac:dyDescent="0.25">
      <c r="A20" s="228" t="s">
        <v>2</v>
      </c>
      <c r="B20" s="229" t="s">
        <v>61</v>
      </c>
      <c r="C20" s="230" t="s">
        <v>136</v>
      </c>
      <c r="D20" s="230" t="s">
        <v>137</v>
      </c>
      <c r="E20" s="229" t="s">
        <v>18</v>
      </c>
      <c r="F20" s="231">
        <v>83.85</v>
      </c>
      <c r="G20" s="229" t="s">
        <v>1</v>
      </c>
      <c r="H20" s="405">
        <f ca="1">INDEX(PRODUTIVIDADES!$M:$M,MATCH(tbAREAS[[#This Row],[TIPO DE ÁREA]],PRODUTIVIDADES!$B:$B,0)+MATCH(tbAREAS[[#This Row],[LOCALIDADE]],PRODUTIVIDADES!$A:$A,0)-3)*tbAREAS[[#This Row],[ÁREA EM M²]]</f>
        <v>3802.5974999999999</v>
      </c>
      <c r="L20" s="391"/>
    </row>
    <row r="21" spans="1:12" hidden="1" x14ac:dyDescent="0.25">
      <c r="A21" s="228" t="s">
        <v>2</v>
      </c>
      <c r="B21" s="229" t="s">
        <v>61</v>
      </c>
      <c r="C21" s="230" t="s">
        <v>136</v>
      </c>
      <c r="D21" s="230" t="s">
        <v>137</v>
      </c>
      <c r="E21" s="229" t="s">
        <v>20</v>
      </c>
      <c r="F21" s="231">
        <v>83.74</v>
      </c>
      <c r="G21" s="229" t="s">
        <v>1</v>
      </c>
      <c r="H21" s="405">
        <f ca="1">INDEX(PRODUTIVIDADES!$M:$M,MATCH(tbAREAS[[#This Row],[TIPO DE ÁREA]],PRODUTIVIDADES!$B:$B,0)+MATCH(tbAREAS[[#This Row],[LOCALIDADE]],PRODUTIVIDADES!$A:$A,0)-3)*tbAREAS[[#This Row],[ÁREA EM M²]]</f>
        <v>65.3172</v>
      </c>
      <c r="L21" s="391"/>
    </row>
    <row r="22" spans="1:12" hidden="1" x14ac:dyDescent="0.25">
      <c r="A22" s="228" t="s">
        <v>2</v>
      </c>
      <c r="B22" s="229" t="s">
        <v>61</v>
      </c>
      <c r="C22" s="230" t="s">
        <v>136</v>
      </c>
      <c r="D22" s="230" t="s">
        <v>137</v>
      </c>
      <c r="E22" s="229" t="s">
        <v>21</v>
      </c>
      <c r="F22" s="231">
        <v>660</v>
      </c>
      <c r="G22" s="229" t="s">
        <v>1</v>
      </c>
      <c r="H22" s="405">
        <f ca="1">INDEX(PRODUTIVIDADES!$M:$M,MATCH(tbAREAS[[#This Row],[TIPO DE ÁREA]],PRODUTIVIDADES!$B:$B,0)+MATCH(tbAREAS[[#This Row],[LOCALIDADE]],PRODUTIVIDADES!$A:$A,0)-3)*tbAREAS[[#This Row],[ÁREA EM M²]]</f>
        <v>112.2</v>
      </c>
      <c r="L22" s="391"/>
    </row>
    <row r="23" spans="1:12" hidden="1" x14ac:dyDescent="0.25">
      <c r="A23" s="228" t="s">
        <v>2</v>
      </c>
      <c r="B23" s="229" t="s">
        <v>61</v>
      </c>
      <c r="C23" s="230" t="s">
        <v>136</v>
      </c>
      <c r="D23" s="230" t="s">
        <v>137</v>
      </c>
      <c r="E23" s="229" t="s">
        <v>22</v>
      </c>
      <c r="F23" s="231">
        <v>660</v>
      </c>
      <c r="G23" s="229" t="s">
        <v>1</v>
      </c>
      <c r="H23" s="405">
        <f ca="1">INDEX(PRODUTIVIDADES!$M:$M,MATCH(tbAREAS[[#This Row],[TIPO DE ÁREA]],PRODUTIVIDADES!$B:$B,0)+MATCH(tbAREAS[[#This Row],[LOCALIDADE]],PRODUTIVIDADES!$A:$A,0)-3)*tbAREAS[[#This Row],[ÁREA EM M²]]</f>
        <v>264</v>
      </c>
      <c r="L23" s="391"/>
    </row>
    <row r="24" spans="1:12" hidden="1" x14ac:dyDescent="0.25">
      <c r="A24" s="228" t="s">
        <v>2</v>
      </c>
      <c r="B24" s="229" t="s">
        <v>61</v>
      </c>
      <c r="C24" s="230" t="s">
        <v>138</v>
      </c>
      <c r="D24" s="230" t="s">
        <v>139</v>
      </c>
      <c r="E24" s="229" t="s">
        <v>9</v>
      </c>
      <c r="F24" s="231">
        <v>524.12</v>
      </c>
      <c r="G24" s="229" t="s">
        <v>1</v>
      </c>
      <c r="H24" s="405">
        <f ca="1">INDEX(PRODUTIVIDADES!$M:$M,MATCH(tbAREAS[[#This Row],[TIPO DE ÁREA]],PRODUTIVIDADES!$B:$B,0)+MATCH(tbAREAS[[#This Row],[LOCALIDADE]],PRODUTIVIDADES!$A:$A,0)-3)*tbAREAS[[#This Row],[ÁREA EM M²]]</f>
        <v>4088.136</v>
      </c>
      <c r="L24" s="391"/>
    </row>
    <row r="25" spans="1:12" hidden="1" x14ac:dyDescent="0.25">
      <c r="A25" s="228" t="s">
        <v>2</v>
      </c>
      <c r="B25" s="229" t="s">
        <v>61</v>
      </c>
      <c r="C25" s="230" t="s">
        <v>138</v>
      </c>
      <c r="D25" s="230" t="s">
        <v>139</v>
      </c>
      <c r="E25" s="232" t="s">
        <v>10</v>
      </c>
      <c r="F25" s="231">
        <v>186.49</v>
      </c>
      <c r="G25" s="229" t="s">
        <v>1</v>
      </c>
      <c r="H25" s="405">
        <f ca="1">INDEX(PRODUTIVIDADES!$M:$M,MATCH(tbAREAS[[#This Row],[TIPO DE ÁREA]],PRODUTIVIDADES!$B:$B,0)+MATCH(tbAREAS[[#This Row],[LOCALIDADE]],PRODUTIVIDADES!$A:$A,0)-3)*tbAREAS[[#This Row],[ÁREA EM M²]]</f>
        <v>581.8488000000001</v>
      </c>
      <c r="L25" s="391"/>
    </row>
    <row r="26" spans="1:12" hidden="1" x14ac:dyDescent="0.25">
      <c r="A26" s="228" t="s">
        <v>2</v>
      </c>
      <c r="B26" s="229" t="s">
        <v>61</v>
      </c>
      <c r="C26" s="230" t="s">
        <v>138</v>
      </c>
      <c r="D26" s="230" t="s">
        <v>139</v>
      </c>
      <c r="E26" s="229" t="s">
        <v>14</v>
      </c>
      <c r="F26" s="231">
        <v>267.31</v>
      </c>
      <c r="G26" s="229" t="s">
        <v>1</v>
      </c>
      <c r="H26" s="405">
        <f ca="1">INDEX(PRODUTIVIDADES!$M:$M,MATCH(tbAREAS[[#This Row],[TIPO DE ÁREA]],PRODUTIVIDADES!$B:$B,0)+MATCH(tbAREAS[[#This Row],[LOCALIDADE]],PRODUTIVIDADES!$A:$A,0)-3)*tbAREAS[[#This Row],[ÁREA EM M²]]</f>
        <v>2272.1350000000002</v>
      </c>
      <c r="L26" s="391"/>
    </row>
    <row r="27" spans="1:12" hidden="1" x14ac:dyDescent="0.25">
      <c r="A27" s="228" t="s">
        <v>2</v>
      </c>
      <c r="B27" s="229" t="s">
        <v>61</v>
      </c>
      <c r="C27" s="230" t="s">
        <v>138</v>
      </c>
      <c r="D27" s="230" t="s">
        <v>139</v>
      </c>
      <c r="E27" s="229" t="s">
        <v>17</v>
      </c>
      <c r="F27" s="231">
        <v>522.29</v>
      </c>
      <c r="G27" s="229" t="s">
        <v>1</v>
      </c>
      <c r="H27" s="405">
        <f ca="1">INDEX(PRODUTIVIDADES!$M:$M,MATCH(tbAREAS[[#This Row],[TIPO DE ÁREA]],PRODUTIVIDADES!$B:$B,0)+MATCH(tbAREAS[[#This Row],[LOCALIDADE]],PRODUTIVIDADES!$A:$A,0)-3)*tbAREAS[[#This Row],[ÁREA EM M²]]</f>
        <v>1222.1585999999998</v>
      </c>
      <c r="L27" s="391"/>
    </row>
    <row r="28" spans="1:12" hidden="1" x14ac:dyDescent="0.25">
      <c r="A28" s="228" t="s">
        <v>2</v>
      </c>
      <c r="B28" s="229" t="s">
        <v>61</v>
      </c>
      <c r="C28" s="230" t="s">
        <v>138</v>
      </c>
      <c r="D28" s="230" t="s">
        <v>139</v>
      </c>
      <c r="E28" s="229" t="s">
        <v>18</v>
      </c>
      <c r="F28" s="231">
        <v>94.31</v>
      </c>
      <c r="G28" s="229" t="s">
        <v>1</v>
      </c>
      <c r="H28" s="405">
        <f ca="1">INDEX(PRODUTIVIDADES!$M:$M,MATCH(tbAREAS[[#This Row],[TIPO DE ÁREA]],PRODUTIVIDADES!$B:$B,0)+MATCH(tbAREAS[[#This Row],[LOCALIDADE]],PRODUTIVIDADES!$A:$A,0)-3)*tbAREAS[[#This Row],[ÁREA EM M²]]</f>
        <v>4276.9585000000006</v>
      </c>
      <c r="L28" s="391"/>
    </row>
    <row r="29" spans="1:12" hidden="1" x14ac:dyDescent="0.25">
      <c r="A29" s="228" t="s">
        <v>2</v>
      </c>
      <c r="B29" s="229" t="s">
        <v>61</v>
      </c>
      <c r="C29" s="230" t="s">
        <v>138</v>
      </c>
      <c r="D29" s="230" t="s">
        <v>139</v>
      </c>
      <c r="E29" s="229" t="s">
        <v>20</v>
      </c>
      <c r="F29" s="231">
        <v>73.650000000000006</v>
      </c>
      <c r="G29" s="229" t="s">
        <v>1</v>
      </c>
      <c r="H29" s="405">
        <f ca="1">INDEX(PRODUTIVIDADES!$M:$M,MATCH(tbAREAS[[#This Row],[TIPO DE ÁREA]],PRODUTIVIDADES!$B:$B,0)+MATCH(tbAREAS[[#This Row],[LOCALIDADE]],PRODUTIVIDADES!$A:$A,0)-3)*tbAREAS[[#This Row],[ÁREA EM M²]]</f>
        <v>57.44700000000001</v>
      </c>
      <c r="L29" s="391"/>
    </row>
    <row r="30" spans="1:12" hidden="1" x14ac:dyDescent="0.25">
      <c r="A30" s="228" t="s">
        <v>2</v>
      </c>
      <c r="B30" s="229" t="s">
        <v>61</v>
      </c>
      <c r="C30" s="230" t="s">
        <v>138</v>
      </c>
      <c r="D30" s="230" t="s">
        <v>139</v>
      </c>
      <c r="E30" s="229" t="s">
        <v>21</v>
      </c>
      <c r="F30" s="231">
        <v>250.18</v>
      </c>
      <c r="G30" s="229" t="s">
        <v>1</v>
      </c>
      <c r="H30" s="405">
        <f ca="1">INDEX(PRODUTIVIDADES!$M:$M,MATCH(tbAREAS[[#This Row],[TIPO DE ÁREA]],PRODUTIVIDADES!$B:$B,0)+MATCH(tbAREAS[[#This Row],[LOCALIDADE]],PRODUTIVIDADES!$A:$A,0)-3)*tbAREAS[[#This Row],[ÁREA EM M²]]</f>
        <v>42.530600000000007</v>
      </c>
      <c r="L30" s="391"/>
    </row>
    <row r="31" spans="1:12" hidden="1" x14ac:dyDescent="0.25">
      <c r="A31" s="228" t="s">
        <v>2</v>
      </c>
      <c r="B31" s="229" t="s">
        <v>61</v>
      </c>
      <c r="C31" s="230" t="s">
        <v>138</v>
      </c>
      <c r="D31" s="230" t="s">
        <v>139</v>
      </c>
      <c r="E31" s="229" t="s">
        <v>22</v>
      </c>
      <c r="F31" s="231">
        <v>250.18</v>
      </c>
      <c r="G31" s="229" t="s">
        <v>1</v>
      </c>
      <c r="H31" s="405">
        <f ca="1">INDEX(PRODUTIVIDADES!$M:$M,MATCH(tbAREAS[[#This Row],[TIPO DE ÁREA]],PRODUTIVIDADES!$B:$B,0)+MATCH(tbAREAS[[#This Row],[LOCALIDADE]],PRODUTIVIDADES!$A:$A,0)-3)*tbAREAS[[#This Row],[ÁREA EM M²]]</f>
        <v>100.072</v>
      </c>
      <c r="L31" s="391"/>
    </row>
    <row r="32" spans="1:12" hidden="1" x14ac:dyDescent="0.25">
      <c r="A32" s="228" t="s">
        <v>2</v>
      </c>
      <c r="B32" s="229" t="s">
        <v>61</v>
      </c>
      <c r="C32" s="230" t="s">
        <v>138</v>
      </c>
      <c r="D32" s="230" t="s">
        <v>139</v>
      </c>
      <c r="E32" s="229" t="s">
        <v>9</v>
      </c>
      <c r="F32" s="231">
        <v>89.75</v>
      </c>
      <c r="G32" s="229" t="s">
        <v>1</v>
      </c>
      <c r="H32" s="405">
        <f ca="1">INDEX(PRODUTIVIDADES!$M:$M,MATCH(tbAREAS[[#This Row],[TIPO DE ÁREA]],PRODUTIVIDADES!$B:$B,0)+MATCH(tbAREAS[[#This Row],[LOCALIDADE]],PRODUTIVIDADES!$A:$A,0)-3)*tbAREAS[[#This Row],[ÁREA EM M²]]</f>
        <v>700.05</v>
      </c>
      <c r="L32" s="391"/>
    </row>
    <row r="33" spans="1:12" hidden="1" x14ac:dyDescent="0.25">
      <c r="A33" s="228" t="s">
        <v>2</v>
      </c>
      <c r="B33" s="229" t="s">
        <v>61</v>
      </c>
      <c r="C33" s="230" t="s">
        <v>138</v>
      </c>
      <c r="D33" s="230" t="s">
        <v>139</v>
      </c>
      <c r="E33" s="229" t="s">
        <v>17</v>
      </c>
      <c r="F33" s="231">
        <v>30.73</v>
      </c>
      <c r="G33" s="229" t="s">
        <v>1</v>
      </c>
      <c r="H33" s="405">
        <f ca="1">INDEX(PRODUTIVIDADES!$M:$M,MATCH(tbAREAS[[#This Row],[TIPO DE ÁREA]],PRODUTIVIDADES!$B:$B,0)+MATCH(tbAREAS[[#This Row],[LOCALIDADE]],PRODUTIVIDADES!$A:$A,0)-3)*tbAREAS[[#This Row],[ÁREA EM M²]]</f>
        <v>71.908199999999994</v>
      </c>
      <c r="L33" s="391"/>
    </row>
    <row r="34" spans="1:12" hidden="1" x14ac:dyDescent="0.25">
      <c r="A34" s="228" t="s">
        <v>2</v>
      </c>
      <c r="B34" s="229" t="s">
        <v>61</v>
      </c>
      <c r="C34" s="230" t="s">
        <v>138</v>
      </c>
      <c r="D34" s="230" t="s">
        <v>139</v>
      </c>
      <c r="E34" s="229" t="s">
        <v>21</v>
      </c>
      <c r="F34" s="231">
        <v>5</v>
      </c>
      <c r="G34" s="229" t="s">
        <v>1</v>
      </c>
      <c r="H34" s="405">
        <f ca="1">INDEX(PRODUTIVIDADES!$M:$M,MATCH(tbAREAS[[#This Row],[TIPO DE ÁREA]],PRODUTIVIDADES!$B:$B,0)+MATCH(tbAREAS[[#This Row],[LOCALIDADE]],PRODUTIVIDADES!$A:$A,0)-3)*tbAREAS[[#This Row],[ÁREA EM M²]]</f>
        <v>0.85000000000000009</v>
      </c>
      <c r="L34" s="391"/>
    </row>
    <row r="35" spans="1:12" hidden="1" x14ac:dyDescent="0.25">
      <c r="A35" s="228" t="s">
        <v>2</v>
      </c>
      <c r="B35" s="229" t="s">
        <v>61</v>
      </c>
      <c r="C35" s="230" t="s">
        <v>138</v>
      </c>
      <c r="D35" s="230" t="s">
        <v>139</v>
      </c>
      <c r="E35" s="229" t="s">
        <v>22</v>
      </c>
      <c r="F35" s="231">
        <v>5</v>
      </c>
      <c r="G35" s="229" t="s">
        <v>1</v>
      </c>
      <c r="H35" s="405">
        <f ca="1">INDEX(PRODUTIVIDADES!$M:$M,MATCH(tbAREAS[[#This Row],[TIPO DE ÁREA]],PRODUTIVIDADES!$B:$B,0)+MATCH(tbAREAS[[#This Row],[LOCALIDADE]],PRODUTIVIDADES!$A:$A,0)-3)*tbAREAS[[#This Row],[ÁREA EM M²]]</f>
        <v>2</v>
      </c>
      <c r="L35" s="391"/>
    </row>
    <row r="36" spans="1:12" hidden="1" x14ac:dyDescent="0.25">
      <c r="A36" s="228" t="s">
        <v>2</v>
      </c>
      <c r="B36" s="229" t="s">
        <v>61</v>
      </c>
      <c r="C36" s="230" t="s">
        <v>62</v>
      </c>
      <c r="D36" s="230" t="s">
        <v>140</v>
      </c>
      <c r="E36" s="229" t="s">
        <v>9</v>
      </c>
      <c r="F36" s="231">
        <v>944.7</v>
      </c>
      <c r="G36" s="229" t="s">
        <v>1</v>
      </c>
      <c r="H36" s="405">
        <f ca="1">INDEX(PRODUTIVIDADES!$M:$M,MATCH(tbAREAS[[#This Row],[TIPO DE ÁREA]],PRODUTIVIDADES!$B:$B,0)+MATCH(tbAREAS[[#This Row],[LOCALIDADE]],PRODUTIVIDADES!$A:$A,0)-3)*tbAREAS[[#This Row],[ÁREA EM M²]]</f>
        <v>7368.66</v>
      </c>
      <c r="L36" s="391"/>
    </row>
    <row r="37" spans="1:12" hidden="1" x14ac:dyDescent="0.25">
      <c r="A37" s="228" t="s">
        <v>2</v>
      </c>
      <c r="B37" s="229" t="s">
        <v>61</v>
      </c>
      <c r="C37" s="230" t="s">
        <v>62</v>
      </c>
      <c r="D37" s="230" t="s">
        <v>140</v>
      </c>
      <c r="E37" s="232" t="s">
        <v>10</v>
      </c>
      <c r="F37" s="231">
        <v>320.12</v>
      </c>
      <c r="G37" s="229" t="s">
        <v>1</v>
      </c>
      <c r="H37" s="405">
        <f ca="1">INDEX(PRODUTIVIDADES!$M:$M,MATCH(tbAREAS[[#This Row],[TIPO DE ÁREA]],PRODUTIVIDADES!$B:$B,0)+MATCH(tbAREAS[[#This Row],[LOCALIDADE]],PRODUTIVIDADES!$A:$A,0)-3)*tbAREAS[[#This Row],[ÁREA EM M²]]</f>
        <v>998.77440000000001</v>
      </c>
      <c r="L37" s="391"/>
    </row>
    <row r="38" spans="1:12" hidden="1" x14ac:dyDescent="0.25">
      <c r="A38" s="228" t="s">
        <v>2</v>
      </c>
      <c r="B38" s="229" t="s">
        <v>61</v>
      </c>
      <c r="C38" s="230" t="s">
        <v>62</v>
      </c>
      <c r="D38" s="230" t="s">
        <v>140</v>
      </c>
      <c r="E38" s="229" t="s">
        <v>17</v>
      </c>
      <c r="F38" s="231">
        <v>898.6</v>
      </c>
      <c r="G38" s="229" t="s">
        <v>1</v>
      </c>
      <c r="H38" s="405">
        <f ca="1">INDEX(PRODUTIVIDADES!$M:$M,MATCH(tbAREAS[[#This Row],[TIPO DE ÁREA]],PRODUTIVIDADES!$B:$B,0)+MATCH(tbAREAS[[#This Row],[LOCALIDADE]],PRODUTIVIDADES!$A:$A,0)-3)*tbAREAS[[#This Row],[ÁREA EM M²]]</f>
        <v>2102.7239999999997</v>
      </c>
      <c r="L38" s="391"/>
    </row>
    <row r="39" spans="1:12" hidden="1" x14ac:dyDescent="0.25">
      <c r="A39" s="228" t="s">
        <v>2</v>
      </c>
      <c r="B39" s="229" t="s">
        <v>61</v>
      </c>
      <c r="C39" s="230" t="s">
        <v>62</v>
      </c>
      <c r="D39" s="230" t="s">
        <v>140</v>
      </c>
      <c r="E39" s="229" t="s">
        <v>18</v>
      </c>
      <c r="F39" s="231">
        <v>182.41</v>
      </c>
      <c r="G39" s="229" t="s">
        <v>1</v>
      </c>
      <c r="H39" s="405">
        <f ca="1">INDEX(PRODUTIVIDADES!$M:$M,MATCH(tbAREAS[[#This Row],[TIPO DE ÁREA]],PRODUTIVIDADES!$B:$B,0)+MATCH(tbAREAS[[#This Row],[LOCALIDADE]],PRODUTIVIDADES!$A:$A,0)-3)*tbAREAS[[#This Row],[ÁREA EM M²]]</f>
        <v>8272.2934999999998</v>
      </c>
      <c r="L39" s="391"/>
    </row>
    <row r="40" spans="1:12" hidden="1" x14ac:dyDescent="0.25">
      <c r="A40" s="228" t="s">
        <v>2</v>
      </c>
      <c r="B40" s="229" t="s">
        <v>61</v>
      </c>
      <c r="C40" s="230" t="s">
        <v>62</v>
      </c>
      <c r="D40" s="230" t="s">
        <v>140</v>
      </c>
      <c r="E40" s="229" t="s">
        <v>21</v>
      </c>
      <c r="F40" s="231">
        <v>351.1</v>
      </c>
      <c r="G40" s="229" t="s">
        <v>1</v>
      </c>
      <c r="H40" s="405">
        <f ca="1">INDEX(PRODUTIVIDADES!$M:$M,MATCH(tbAREAS[[#This Row],[TIPO DE ÁREA]],PRODUTIVIDADES!$B:$B,0)+MATCH(tbAREAS[[#This Row],[LOCALIDADE]],PRODUTIVIDADES!$A:$A,0)-3)*tbAREAS[[#This Row],[ÁREA EM M²]]</f>
        <v>59.687000000000005</v>
      </c>
      <c r="L40" s="391"/>
    </row>
    <row r="41" spans="1:12" hidden="1" x14ac:dyDescent="0.25">
      <c r="A41" s="228" t="s">
        <v>2</v>
      </c>
      <c r="B41" s="229" t="s">
        <v>61</v>
      </c>
      <c r="C41" s="230" t="s">
        <v>62</v>
      </c>
      <c r="D41" s="230" t="s">
        <v>140</v>
      </c>
      <c r="E41" s="229" t="s">
        <v>22</v>
      </c>
      <c r="F41" s="231">
        <v>351.1</v>
      </c>
      <c r="G41" s="229" t="s">
        <v>1</v>
      </c>
      <c r="H41" s="405">
        <f ca="1">INDEX(PRODUTIVIDADES!$M:$M,MATCH(tbAREAS[[#This Row],[TIPO DE ÁREA]],PRODUTIVIDADES!$B:$B,0)+MATCH(tbAREAS[[#This Row],[LOCALIDADE]],PRODUTIVIDADES!$A:$A,0)-3)*tbAREAS[[#This Row],[ÁREA EM M²]]</f>
        <v>140.44000000000003</v>
      </c>
      <c r="L41" s="391"/>
    </row>
    <row r="42" spans="1:12" hidden="1" x14ac:dyDescent="0.25">
      <c r="A42" s="228" t="s">
        <v>2</v>
      </c>
      <c r="B42" s="229" t="s">
        <v>61</v>
      </c>
      <c r="C42" s="230" t="s">
        <v>141</v>
      </c>
      <c r="D42" s="230" t="s">
        <v>142</v>
      </c>
      <c r="E42" s="229" t="s">
        <v>9</v>
      </c>
      <c r="F42" s="231">
        <v>174.93</v>
      </c>
      <c r="G42" s="229" t="s">
        <v>1</v>
      </c>
      <c r="H42" s="405">
        <f ca="1">INDEX(PRODUTIVIDADES!$M:$M,MATCH(tbAREAS[[#This Row],[TIPO DE ÁREA]],PRODUTIVIDADES!$B:$B,0)+MATCH(tbAREAS[[#This Row],[LOCALIDADE]],PRODUTIVIDADES!$A:$A,0)-3)*tbAREAS[[#This Row],[ÁREA EM M²]]</f>
        <v>1364.454</v>
      </c>
      <c r="L42" s="391"/>
    </row>
    <row r="43" spans="1:12" hidden="1" x14ac:dyDescent="0.25">
      <c r="A43" s="228" t="s">
        <v>2</v>
      </c>
      <c r="B43" s="229" t="s">
        <v>61</v>
      </c>
      <c r="C43" s="230" t="s">
        <v>141</v>
      </c>
      <c r="D43" s="230" t="s">
        <v>142</v>
      </c>
      <c r="E43" s="232" t="s">
        <v>14</v>
      </c>
      <c r="F43" s="231">
        <v>597.80999999999995</v>
      </c>
      <c r="G43" s="229" t="s">
        <v>1</v>
      </c>
      <c r="H43" s="405">
        <f ca="1">INDEX(PRODUTIVIDADES!$M:$M,MATCH(tbAREAS[[#This Row],[TIPO DE ÁREA]],PRODUTIVIDADES!$B:$B,0)+MATCH(tbAREAS[[#This Row],[LOCALIDADE]],PRODUTIVIDADES!$A:$A,0)-3)*tbAREAS[[#This Row],[ÁREA EM M²]]</f>
        <v>5081.3849999999993</v>
      </c>
      <c r="L43" s="391"/>
    </row>
    <row r="44" spans="1:12" hidden="1" x14ac:dyDescent="0.25">
      <c r="A44" s="228" t="s">
        <v>2</v>
      </c>
      <c r="B44" s="229" t="s">
        <v>61</v>
      </c>
      <c r="C44" s="230" t="s">
        <v>141</v>
      </c>
      <c r="D44" s="230" t="s">
        <v>142</v>
      </c>
      <c r="E44" s="229" t="s">
        <v>17</v>
      </c>
      <c r="F44" s="231">
        <v>106.16</v>
      </c>
      <c r="G44" s="229" t="s">
        <v>1</v>
      </c>
      <c r="H44" s="405">
        <f ca="1">INDEX(PRODUTIVIDADES!$M:$M,MATCH(tbAREAS[[#This Row],[TIPO DE ÁREA]],PRODUTIVIDADES!$B:$B,0)+MATCH(tbAREAS[[#This Row],[LOCALIDADE]],PRODUTIVIDADES!$A:$A,0)-3)*tbAREAS[[#This Row],[ÁREA EM M²]]</f>
        <v>248.41439999999997</v>
      </c>
      <c r="L44" s="391"/>
    </row>
    <row r="45" spans="1:12" hidden="1" x14ac:dyDescent="0.25">
      <c r="A45" s="228" t="s">
        <v>2</v>
      </c>
      <c r="B45" s="229" t="s">
        <v>61</v>
      </c>
      <c r="C45" s="230" t="s">
        <v>141</v>
      </c>
      <c r="D45" s="230" t="s">
        <v>142</v>
      </c>
      <c r="E45" s="229" t="s">
        <v>18</v>
      </c>
      <c r="F45" s="231">
        <v>54.83</v>
      </c>
      <c r="G45" s="229" t="s">
        <v>1</v>
      </c>
      <c r="H45" s="405">
        <f ca="1">INDEX(PRODUTIVIDADES!$M:$M,MATCH(tbAREAS[[#This Row],[TIPO DE ÁREA]],PRODUTIVIDADES!$B:$B,0)+MATCH(tbAREAS[[#This Row],[LOCALIDADE]],PRODUTIVIDADES!$A:$A,0)-3)*tbAREAS[[#This Row],[ÁREA EM M²]]</f>
        <v>2486.5405000000001</v>
      </c>
      <c r="L45" s="391"/>
    </row>
    <row r="46" spans="1:12" hidden="1" x14ac:dyDescent="0.25">
      <c r="A46" s="228" t="s">
        <v>2</v>
      </c>
      <c r="B46" s="229" t="s">
        <v>61</v>
      </c>
      <c r="C46" s="230" t="s">
        <v>141</v>
      </c>
      <c r="D46" s="230" t="s">
        <v>142</v>
      </c>
      <c r="E46" s="229" t="s">
        <v>21</v>
      </c>
      <c r="F46" s="231">
        <v>142.51</v>
      </c>
      <c r="G46" s="229" t="s">
        <v>1</v>
      </c>
      <c r="H46" s="405">
        <f ca="1">INDEX(PRODUTIVIDADES!$M:$M,MATCH(tbAREAS[[#This Row],[TIPO DE ÁREA]],PRODUTIVIDADES!$B:$B,0)+MATCH(tbAREAS[[#This Row],[LOCALIDADE]],PRODUTIVIDADES!$A:$A,0)-3)*tbAREAS[[#This Row],[ÁREA EM M²]]</f>
        <v>24.226700000000001</v>
      </c>
      <c r="L46" s="391"/>
    </row>
    <row r="47" spans="1:12" hidden="1" x14ac:dyDescent="0.25">
      <c r="A47" s="228" t="s">
        <v>2</v>
      </c>
      <c r="B47" s="229" t="s">
        <v>61</v>
      </c>
      <c r="C47" s="230" t="s">
        <v>141</v>
      </c>
      <c r="D47" s="230" t="s">
        <v>142</v>
      </c>
      <c r="E47" s="229" t="s">
        <v>22</v>
      </c>
      <c r="F47" s="231">
        <v>142.51</v>
      </c>
      <c r="G47" s="229" t="s">
        <v>1</v>
      </c>
      <c r="H47" s="405">
        <f ca="1">INDEX(PRODUTIVIDADES!$M:$M,MATCH(tbAREAS[[#This Row],[TIPO DE ÁREA]],PRODUTIVIDADES!$B:$B,0)+MATCH(tbAREAS[[#This Row],[LOCALIDADE]],PRODUTIVIDADES!$A:$A,0)-3)*tbAREAS[[#This Row],[ÁREA EM M²]]</f>
        <v>57.003999999999998</v>
      </c>
      <c r="L47" s="391"/>
    </row>
    <row r="48" spans="1:12" hidden="1" x14ac:dyDescent="0.25">
      <c r="A48" s="228" t="s">
        <v>2</v>
      </c>
      <c r="B48" s="229" t="s">
        <v>61</v>
      </c>
      <c r="C48" s="230" t="s">
        <v>143</v>
      </c>
      <c r="D48" s="230" t="s">
        <v>144</v>
      </c>
      <c r="E48" s="229" t="s">
        <v>9</v>
      </c>
      <c r="F48" s="231">
        <v>287.7</v>
      </c>
      <c r="G48" s="229" t="s">
        <v>1</v>
      </c>
      <c r="H48" s="405">
        <f ca="1">INDEX(PRODUTIVIDADES!$M:$M,MATCH(tbAREAS[[#This Row],[TIPO DE ÁREA]],PRODUTIVIDADES!$B:$B,0)+MATCH(tbAREAS[[#This Row],[LOCALIDADE]],PRODUTIVIDADES!$A:$A,0)-3)*tbAREAS[[#This Row],[ÁREA EM M²]]</f>
        <v>2244.06</v>
      </c>
      <c r="L48" s="391"/>
    </row>
    <row r="49" spans="1:12" hidden="1" x14ac:dyDescent="0.25">
      <c r="A49" s="228" t="s">
        <v>2</v>
      </c>
      <c r="B49" s="229" t="s">
        <v>61</v>
      </c>
      <c r="C49" s="230" t="s">
        <v>143</v>
      </c>
      <c r="D49" s="230" t="s">
        <v>144</v>
      </c>
      <c r="E49" s="232" t="s">
        <v>10</v>
      </c>
      <c r="F49" s="231">
        <v>97.66</v>
      </c>
      <c r="G49" s="229" t="s">
        <v>1</v>
      </c>
      <c r="H49" s="405">
        <f ca="1">INDEX(PRODUTIVIDADES!$M:$M,MATCH(tbAREAS[[#This Row],[TIPO DE ÁREA]],PRODUTIVIDADES!$B:$B,0)+MATCH(tbAREAS[[#This Row],[LOCALIDADE]],PRODUTIVIDADES!$A:$A,0)-3)*tbAREAS[[#This Row],[ÁREA EM M²]]</f>
        <v>304.69920000000002</v>
      </c>
      <c r="L49" s="391"/>
    </row>
    <row r="50" spans="1:12" hidden="1" x14ac:dyDescent="0.25">
      <c r="A50" s="228" t="s">
        <v>2</v>
      </c>
      <c r="B50" s="229" t="s">
        <v>61</v>
      </c>
      <c r="C50" s="230" t="s">
        <v>143</v>
      </c>
      <c r="D50" s="230" t="s">
        <v>144</v>
      </c>
      <c r="E50" s="229" t="s">
        <v>17</v>
      </c>
      <c r="F50" s="231">
        <v>43</v>
      </c>
      <c r="G50" s="229" t="s">
        <v>1</v>
      </c>
      <c r="H50" s="405">
        <f ca="1">INDEX(PRODUTIVIDADES!$M:$M,MATCH(tbAREAS[[#This Row],[TIPO DE ÁREA]],PRODUTIVIDADES!$B:$B,0)+MATCH(tbAREAS[[#This Row],[LOCALIDADE]],PRODUTIVIDADES!$A:$A,0)-3)*tbAREAS[[#This Row],[ÁREA EM M²]]</f>
        <v>100.61999999999999</v>
      </c>
      <c r="L50" s="391"/>
    </row>
    <row r="51" spans="1:12" hidden="1" x14ac:dyDescent="0.25">
      <c r="A51" s="228" t="s">
        <v>2</v>
      </c>
      <c r="B51" s="229" t="s">
        <v>61</v>
      </c>
      <c r="C51" s="230" t="s">
        <v>143</v>
      </c>
      <c r="D51" s="230" t="s">
        <v>144</v>
      </c>
      <c r="E51" s="229" t="s">
        <v>18</v>
      </c>
      <c r="F51" s="231">
        <v>22.8</v>
      </c>
      <c r="G51" s="229" t="s">
        <v>1</v>
      </c>
      <c r="H51" s="405">
        <f ca="1">INDEX(PRODUTIVIDADES!$M:$M,MATCH(tbAREAS[[#This Row],[TIPO DE ÁREA]],PRODUTIVIDADES!$B:$B,0)+MATCH(tbAREAS[[#This Row],[LOCALIDADE]],PRODUTIVIDADES!$A:$A,0)-3)*tbAREAS[[#This Row],[ÁREA EM M²]]</f>
        <v>1033.98</v>
      </c>
      <c r="L51" s="391"/>
    </row>
    <row r="52" spans="1:12" hidden="1" x14ac:dyDescent="0.25">
      <c r="A52" s="228" t="s">
        <v>2</v>
      </c>
      <c r="B52" s="234" t="s">
        <v>77</v>
      </c>
      <c r="C52" s="230" t="s">
        <v>145</v>
      </c>
      <c r="D52" s="230" t="s">
        <v>80</v>
      </c>
      <c r="E52" s="229" t="s">
        <v>9</v>
      </c>
      <c r="F52" s="231">
        <v>45.05</v>
      </c>
      <c r="G52" s="229" t="s">
        <v>1</v>
      </c>
      <c r="H52" s="405">
        <f ca="1">INDEX(PRODUTIVIDADES!$M:$M,MATCH(tbAREAS[[#This Row],[TIPO DE ÁREA]],PRODUTIVIDADES!$B:$B,0)+MATCH(tbAREAS[[#This Row],[LOCALIDADE]],PRODUTIVIDADES!$A:$A,0)-3)*tbAREAS[[#This Row],[ÁREA EM M²]]</f>
        <v>351.39</v>
      </c>
      <c r="L52" s="391"/>
    </row>
    <row r="53" spans="1:12" hidden="1" x14ac:dyDescent="0.25">
      <c r="A53" s="228" t="s">
        <v>2</v>
      </c>
      <c r="B53" s="234" t="s">
        <v>77</v>
      </c>
      <c r="C53" s="230" t="s">
        <v>145</v>
      </c>
      <c r="D53" s="230" t="s">
        <v>80</v>
      </c>
      <c r="E53" s="229" t="s">
        <v>10</v>
      </c>
      <c r="F53" s="231">
        <v>1289.92</v>
      </c>
      <c r="G53" s="229" t="s">
        <v>1</v>
      </c>
      <c r="H53" s="405">
        <f ca="1">INDEX(PRODUTIVIDADES!$M:$M,MATCH(tbAREAS[[#This Row],[TIPO DE ÁREA]],PRODUTIVIDADES!$B:$B,0)+MATCH(tbAREAS[[#This Row],[LOCALIDADE]],PRODUTIVIDADES!$A:$A,0)-3)*tbAREAS[[#This Row],[ÁREA EM M²]]</f>
        <v>4024.5504000000005</v>
      </c>
      <c r="L53" s="391"/>
    </row>
    <row r="54" spans="1:12" hidden="1" x14ac:dyDescent="0.25">
      <c r="A54" s="228" t="s">
        <v>2</v>
      </c>
      <c r="B54" s="234" t="s">
        <v>77</v>
      </c>
      <c r="C54" s="230" t="s">
        <v>145</v>
      </c>
      <c r="D54" s="230" t="s">
        <v>80</v>
      </c>
      <c r="E54" s="229" t="s">
        <v>13</v>
      </c>
      <c r="F54" s="231">
        <v>106.39</v>
      </c>
      <c r="G54" s="229" t="s">
        <v>1</v>
      </c>
      <c r="H54" s="405">
        <f ca="1">INDEX(PRODUTIVIDADES!$M:$M,MATCH(tbAREAS[[#This Row],[TIPO DE ÁREA]],PRODUTIVIDADES!$B:$B,0)+MATCH(tbAREAS[[#This Row],[LOCALIDADE]],PRODUTIVIDADES!$A:$A,0)-3)*tbAREAS[[#This Row],[ÁREA EM M²]]</f>
        <v>331.93680000000001</v>
      </c>
      <c r="L54" s="391"/>
    </row>
    <row r="55" spans="1:12" hidden="1" x14ac:dyDescent="0.25">
      <c r="A55" s="228" t="s">
        <v>2</v>
      </c>
      <c r="B55" s="234" t="s">
        <v>77</v>
      </c>
      <c r="C55" s="230" t="s">
        <v>145</v>
      </c>
      <c r="D55" s="230" t="s">
        <v>80</v>
      </c>
      <c r="E55" s="229" t="s">
        <v>14</v>
      </c>
      <c r="F55" s="231">
        <v>898.31</v>
      </c>
      <c r="G55" s="229" t="s">
        <v>1</v>
      </c>
      <c r="H55" s="405">
        <f ca="1">INDEX(PRODUTIVIDADES!$M:$M,MATCH(tbAREAS[[#This Row],[TIPO DE ÁREA]],PRODUTIVIDADES!$B:$B,0)+MATCH(tbAREAS[[#This Row],[LOCALIDADE]],PRODUTIVIDADES!$A:$A,0)-3)*tbAREAS[[#This Row],[ÁREA EM M²]]</f>
        <v>7635.6349999999993</v>
      </c>
      <c r="L55" s="391"/>
    </row>
    <row r="56" spans="1:12" hidden="1" x14ac:dyDescent="0.25">
      <c r="A56" s="228" t="s">
        <v>2</v>
      </c>
      <c r="B56" s="234" t="s">
        <v>77</v>
      </c>
      <c r="C56" s="230" t="s">
        <v>145</v>
      </c>
      <c r="D56" s="230" t="s">
        <v>80</v>
      </c>
      <c r="E56" s="229" t="s">
        <v>16</v>
      </c>
      <c r="F56" s="231">
        <v>88.27</v>
      </c>
      <c r="G56" s="229" t="s">
        <v>1</v>
      </c>
      <c r="H56" s="405">
        <f ca="1">INDEX(PRODUTIVIDADES!$M:$M,MATCH(tbAREAS[[#This Row],[TIPO DE ÁREA]],PRODUTIVIDADES!$B:$B,0)+MATCH(tbAREAS[[#This Row],[LOCALIDADE]],PRODUTIVIDADES!$A:$A,0)-3)*tbAREAS[[#This Row],[ÁREA EM M²]]</f>
        <v>68.8506</v>
      </c>
      <c r="L56" s="391"/>
    </row>
    <row r="57" spans="1:12" hidden="1" x14ac:dyDescent="0.25">
      <c r="A57" s="228" t="s">
        <v>2</v>
      </c>
      <c r="B57" s="234" t="s">
        <v>77</v>
      </c>
      <c r="C57" s="230" t="s">
        <v>145</v>
      </c>
      <c r="D57" s="230" t="s">
        <v>80</v>
      </c>
      <c r="E57" s="229" t="s">
        <v>17</v>
      </c>
      <c r="F57" s="231">
        <v>1089.6099999999999</v>
      </c>
      <c r="G57" s="229" t="s">
        <v>1</v>
      </c>
      <c r="H57" s="405">
        <f ca="1">INDEX(PRODUTIVIDADES!$M:$M,MATCH(tbAREAS[[#This Row],[TIPO DE ÁREA]],PRODUTIVIDADES!$B:$B,0)+MATCH(tbAREAS[[#This Row],[LOCALIDADE]],PRODUTIVIDADES!$A:$A,0)-3)*tbAREAS[[#This Row],[ÁREA EM M²]]</f>
        <v>2549.6873999999998</v>
      </c>
      <c r="L57" s="391"/>
    </row>
    <row r="58" spans="1:12" hidden="1" x14ac:dyDescent="0.25">
      <c r="A58" s="228" t="s">
        <v>2</v>
      </c>
      <c r="B58" s="234" t="s">
        <v>77</v>
      </c>
      <c r="C58" s="230" t="s">
        <v>145</v>
      </c>
      <c r="D58" s="230" t="s">
        <v>80</v>
      </c>
      <c r="E58" s="229" t="s">
        <v>18</v>
      </c>
      <c r="F58" s="231">
        <v>161.47999999999999</v>
      </c>
      <c r="G58" s="229" t="s">
        <v>1</v>
      </c>
      <c r="H58" s="405">
        <f ca="1">INDEX(PRODUTIVIDADES!$M:$M,MATCH(tbAREAS[[#This Row],[TIPO DE ÁREA]],PRODUTIVIDADES!$B:$B,0)+MATCH(tbAREAS[[#This Row],[LOCALIDADE]],PRODUTIVIDADES!$A:$A,0)-3)*tbAREAS[[#This Row],[ÁREA EM M²]]</f>
        <v>7323.1179999999995</v>
      </c>
      <c r="L58" s="391"/>
    </row>
    <row r="59" spans="1:12" hidden="1" x14ac:dyDescent="0.25">
      <c r="A59" s="228" t="s">
        <v>2</v>
      </c>
      <c r="B59" s="234" t="s">
        <v>77</v>
      </c>
      <c r="C59" s="230" t="s">
        <v>145</v>
      </c>
      <c r="D59" s="230" t="s">
        <v>80</v>
      </c>
      <c r="E59" s="229" t="s">
        <v>20</v>
      </c>
      <c r="F59" s="231">
        <v>765.95</v>
      </c>
      <c r="G59" s="229" t="s">
        <v>1</v>
      </c>
      <c r="H59" s="405">
        <f ca="1">INDEX(PRODUTIVIDADES!$M:$M,MATCH(tbAREAS[[#This Row],[TIPO DE ÁREA]],PRODUTIVIDADES!$B:$B,0)+MATCH(tbAREAS[[#This Row],[LOCALIDADE]],PRODUTIVIDADES!$A:$A,0)-3)*tbAREAS[[#This Row],[ÁREA EM M²]]</f>
        <v>597.44100000000003</v>
      </c>
      <c r="L59" s="391"/>
    </row>
    <row r="60" spans="1:12" hidden="1" x14ac:dyDescent="0.25">
      <c r="A60" s="228" t="s">
        <v>2</v>
      </c>
      <c r="B60" s="234" t="s">
        <v>77</v>
      </c>
      <c r="C60" s="230" t="s">
        <v>145</v>
      </c>
      <c r="D60" s="230" t="s">
        <v>80</v>
      </c>
      <c r="E60" s="229" t="s">
        <v>21</v>
      </c>
      <c r="F60" s="231">
        <v>968.95</v>
      </c>
      <c r="G60" s="229" t="s">
        <v>1</v>
      </c>
      <c r="H60" s="405">
        <f ca="1">INDEX(PRODUTIVIDADES!$M:$M,MATCH(tbAREAS[[#This Row],[TIPO DE ÁREA]],PRODUTIVIDADES!$B:$B,0)+MATCH(tbAREAS[[#This Row],[LOCALIDADE]],PRODUTIVIDADES!$A:$A,0)-3)*tbAREAS[[#This Row],[ÁREA EM M²]]</f>
        <v>164.72150000000002</v>
      </c>
      <c r="L60" s="391"/>
    </row>
    <row r="61" spans="1:12" hidden="1" x14ac:dyDescent="0.25">
      <c r="A61" s="228" t="s">
        <v>2</v>
      </c>
      <c r="B61" s="234" t="s">
        <v>77</v>
      </c>
      <c r="C61" s="230" t="s">
        <v>145</v>
      </c>
      <c r="D61" s="230" t="s">
        <v>80</v>
      </c>
      <c r="E61" s="229" t="s">
        <v>22</v>
      </c>
      <c r="F61" s="231">
        <v>968.95</v>
      </c>
      <c r="G61" s="229" t="s">
        <v>1</v>
      </c>
      <c r="H61" s="405">
        <f ca="1">INDEX(PRODUTIVIDADES!$M:$M,MATCH(tbAREAS[[#This Row],[TIPO DE ÁREA]],PRODUTIVIDADES!$B:$B,0)+MATCH(tbAREAS[[#This Row],[LOCALIDADE]],PRODUTIVIDADES!$A:$A,0)-3)*tbAREAS[[#This Row],[ÁREA EM M²]]</f>
        <v>387.58000000000004</v>
      </c>
      <c r="L61" s="391"/>
    </row>
    <row r="62" spans="1:12" hidden="1" x14ac:dyDescent="0.25">
      <c r="A62" s="228" t="s">
        <v>2</v>
      </c>
      <c r="B62" s="234" t="s">
        <v>77</v>
      </c>
      <c r="C62" s="230" t="s">
        <v>146</v>
      </c>
      <c r="D62" s="230" t="s">
        <v>147</v>
      </c>
      <c r="E62" s="229" t="s">
        <v>9</v>
      </c>
      <c r="F62" s="231">
        <v>982.92</v>
      </c>
      <c r="G62" s="229" t="s">
        <v>1</v>
      </c>
      <c r="H62" s="405">
        <f ca="1">INDEX(PRODUTIVIDADES!$M:$M,MATCH(tbAREAS[[#This Row],[TIPO DE ÁREA]],PRODUTIVIDADES!$B:$B,0)+MATCH(tbAREAS[[#This Row],[LOCALIDADE]],PRODUTIVIDADES!$A:$A,0)-3)*tbAREAS[[#This Row],[ÁREA EM M²]]</f>
        <v>7666.7759999999998</v>
      </c>
      <c r="L62" s="391"/>
    </row>
    <row r="63" spans="1:12" hidden="1" x14ac:dyDescent="0.25">
      <c r="A63" s="228" t="s">
        <v>2</v>
      </c>
      <c r="B63" s="234" t="s">
        <v>77</v>
      </c>
      <c r="C63" s="230" t="s">
        <v>146</v>
      </c>
      <c r="D63" s="230" t="s">
        <v>147</v>
      </c>
      <c r="E63" s="229" t="s">
        <v>10</v>
      </c>
      <c r="F63" s="231">
        <v>3566.31</v>
      </c>
      <c r="G63" s="229" t="s">
        <v>1</v>
      </c>
      <c r="H63" s="405">
        <f ca="1">INDEX(PRODUTIVIDADES!$M:$M,MATCH(tbAREAS[[#This Row],[TIPO DE ÁREA]],PRODUTIVIDADES!$B:$B,0)+MATCH(tbAREAS[[#This Row],[LOCALIDADE]],PRODUTIVIDADES!$A:$A,0)-3)*tbAREAS[[#This Row],[ÁREA EM M²]]</f>
        <v>11126.887200000001</v>
      </c>
      <c r="L63" s="391"/>
    </row>
    <row r="64" spans="1:12" hidden="1" x14ac:dyDescent="0.25">
      <c r="A64" s="228" t="s">
        <v>2</v>
      </c>
      <c r="B64" s="234" t="s">
        <v>77</v>
      </c>
      <c r="C64" s="230" t="s">
        <v>146</v>
      </c>
      <c r="D64" s="230" t="s">
        <v>147</v>
      </c>
      <c r="E64" s="229" t="s">
        <v>13</v>
      </c>
      <c r="F64" s="231">
        <v>45.73</v>
      </c>
      <c r="G64" s="229" t="s">
        <v>1</v>
      </c>
      <c r="H64" s="405">
        <f ca="1">INDEX(PRODUTIVIDADES!$M:$M,MATCH(tbAREAS[[#This Row],[TIPO DE ÁREA]],PRODUTIVIDADES!$B:$B,0)+MATCH(tbAREAS[[#This Row],[LOCALIDADE]],PRODUTIVIDADES!$A:$A,0)-3)*tbAREAS[[#This Row],[ÁREA EM M²]]</f>
        <v>142.67759999999998</v>
      </c>
      <c r="L64" s="391"/>
    </row>
    <row r="65" spans="1:12" hidden="1" x14ac:dyDescent="0.25">
      <c r="A65" s="228" t="s">
        <v>2</v>
      </c>
      <c r="B65" s="234" t="s">
        <v>77</v>
      </c>
      <c r="C65" s="230" t="s">
        <v>146</v>
      </c>
      <c r="D65" s="230" t="s">
        <v>147</v>
      </c>
      <c r="E65" s="229" t="s">
        <v>14</v>
      </c>
      <c r="F65" s="231">
        <v>804.41</v>
      </c>
      <c r="G65" s="229" t="s">
        <v>1</v>
      </c>
      <c r="H65" s="405">
        <f ca="1">INDEX(PRODUTIVIDADES!$M:$M,MATCH(tbAREAS[[#This Row],[TIPO DE ÁREA]],PRODUTIVIDADES!$B:$B,0)+MATCH(tbAREAS[[#This Row],[LOCALIDADE]],PRODUTIVIDADES!$A:$A,0)-3)*tbAREAS[[#This Row],[ÁREA EM M²]]</f>
        <v>6837.4849999999997</v>
      </c>
      <c r="L65" s="391"/>
    </row>
    <row r="66" spans="1:12" hidden="1" x14ac:dyDescent="0.25">
      <c r="A66" s="228" t="s">
        <v>2</v>
      </c>
      <c r="B66" s="234" t="s">
        <v>77</v>
      </c>
      <c r="C66" s="230" t="s">
        <v>146</v>
      </c>
      <c r="D66" s="230" t="s">
        <v>147</v>
      </c>
      <c r="E66" s="229" t="s">
        <v>17</v>
      </c>
      <c r="F66" s="231">
        <v>1789.88</v>
      </c>
      <c r="G66" s="229" t="s">
        <v>1</v>
      </c>
      <c r="H66" s="405">
        <f ca="1">INDEX(PRODUTIVIDADES!$M:$M,MATCH(tbAREAS[[#This Row],[TIPO DE ÁREA]],PRODUTIVIDADES!$B:$B,0)+MATCH(tbAREAS[[#This Row],[LOCALIDADE]],PRODUTIVIDADES!$A:$A,0)-3)*tbAREAS[[#This Row],[ÁREA EM M²]]</f>
        <v>4188.3191999999999</v>
      </c>
      <c r="L66" s="391"/>
    </row>
    <row r="67" spans="1:12" hidden="1" x14ac:dyDescent="0.25">
      <c r="A67" s="228" t="s">
        <v>2</v>
      </c>
      <c r="B67" s="234" t="s">
        <v>77</v>
      </c>
      <c r="C67" s="230" t="s">
        <v>146</v>
      </c>
      <c r="D67" s="230" t="s">
        <v>147</v>
      </c>
      <c r="E67" s="229" t="s">
        <v>18</v>
      </c>
      <c r="F67" s="231">
        <v>151.9</v>
      </c>
      <c r="G67" s="229" t="s">
        <v>1</v>
      </c>
      <c r="H67" s="405">
        <f ca="1">INDEX(PRODUTIVIDADES!$M:$M,MATCH(tbAREAS[[#This Row],[TIPO DE ÁREA]],PRODUTIVIDADES!$B:$B,0)+MATCH(tbAREAS[[#This Row],[LOCALIDADE]],PRODUTIVIDADES!$A:$A,0)-3)*tbAREAS[[#This Row],[ÁREA EM M²]]</f>
        <v>6888.6650000000009</v>
      </c>
      <c r="L67" s="391"/>
    </row>
    <row r="68" spans="1:12" hidden="1" x14ac:dyDescent="0.25">
      <c r="A68" s="228" t="s">
        <v>2</v>
      </c>
      <c r="B68" s="234" t="s">
        <v>77</v>
      </c>
      <c r="C68" s="230" t="s">
        <v>146</v>
      </c>
      <c r="D68" s="230" t="s">
        <v>147</v>
      </c>
      <c r="E68" s="229" t="s">
        <v>20</v>
      </c>
      <c r="F68" s="231">
        <v>317.42</v>
      </c>
      <c r="G68" s="229" t="s">
        <v>1</v>
      </c>
      <c r="H68" s="405">
        <f ca="1">INDEX(PRODUTIVIDADES!$M:$M,MATCH(tbAREAS[[#This Row],[TIPO DE ÁREA]],PRODUTIVIDADES!$B:$B,0)+MATCH(tbAREAS[[#This Row],[LOCALIDADE]],PRODUTIVIDADES!$A:$A,0)-3)*tbAREAS[[#This Row],[ÁREA EM M²]]</f>
        <v>247.58760000000001</v>
      </c>
      <c r="L68" s="391"/>
    </row>
    <row r="69" spans="1:12" hidden="1" x14ac:dyDescent="0.25">
      <c r="A69" s="228" t="s">
        <v>2</v>
      </c>
      <c r="B69" s="234" t="s">
        <v>77</v>
      </c>
      <c r="C69" s="230" t="s">
        <v>146</v>
      </c>
      <c r="D69" s="230" t="s">
        <v>147</v>
      </c>
      <c r="E69" s="229" t="s">
        <v>21</v>
      </c>
      <c r="F69" s="231">
        <v>1109.4000000000001</v>
      </c>
      <c r="G69" s="229" t="s">
        <v>1</v>
      </c>
      <c r="H69" s="405">
        <f ca="1">INDEX(PRODUTIVIDADES!$M:$M,MATCH(tbAREAS[[#This Row],[TIPO DE ÁREA]],PRODUTIVIDADES!$B:$B,0)+MATCH(tbAREAS[[#This Row],[LOCALIDADE]],PRODUTIVIDADES!$A:$A,0)-3)*tbAREAS[[#This Row],[ÁREA EM M²]]</f>
        <v>188.59800000000004</v>
      </c>
      <c r="L69" s="391"/>
    </row>
    <row r="70" spans="1:12" hidden="1" x14ac:dyDescent="0.25">
      <c r="A70" s="228" t="s">
        <v>2</v>
      </c>
      <c r="B70" s="234" t="s">
        <v>77</v>
      </c>
      <c r="C70" s="230" t="s">
        <v>146</v>
      </c>
      <c r="D70" s="230" t="s">
        <v>147</v>
      </c>
      <c r="E70" s="229" t="s">
        <v>22</v>
      </c>
      <c r="F70" s="231">
        <v>1109.4000000000001</v>
      </c>
      <c r="G70" s="229" t="s">
        <v>1</v>
      </c>
      <c r="H70" s="405">
        <f ca="1">INDEX(PRODUTIVIDADES!$M:$M,MATCH(tbAREAS[[#This Row],[TIPO DE ÁREA]],PRODUTIVIDADES!$B:$B,0)+MATCH(tbAREAS[[#This Row],[LOCALIDADE]],PRODUTIVIDADES!$A:$A,0)-3)*tbAREAS[[#This Row],[ÁREA EM M²]]</f>
        <v>443.76000000000005</v>
      </c>
      <c r="L70" s="391"/>
    </row>
    <row r="71" spans="1:12" x14ac:dyDescent="0.25">
      <c r="A71" s="228" t="s">
        <v>2</v>
      </c>
      <c r="B71" s="234" t="s">
        <v>77</v>
      </c>
      <c r="C71" s="230" t="s">
        <v>148</v>
      </c>
      <c r="D71" s="230" t="s">
        <v>149</v>
      </c>
      <c r="E71" s="229" t="s">
        <v>9</v>
      </c>
      <c r="F71" s="231">
        <v>51.91</v>
      </c>
      <c r="G71" s="229" t="s">
        <v>1</v>
      </c>
      <c r="H71" s="405">
        <f ca="1">INDEX(PRODUTIVIDADES!$M:$M,MATCH(tbAREAS[[#This Row],[TIPO DE ÁREA]],PRODUTIVIDADES!$B:$B,0)+MATCH(tbAREAS[[#This Row],[LOCALIDADE]],PRODUTIVIDADES!$A:$A,0)-3)*tbAREAS[[#This Row],[ÁREA EM M²]]</f>
        <v>404.89799999999997</v>
      </c>
      <c r="L71" s="391"/>
    </row>
    <row r="72" spans="1:12" x14ac:dyDescent="0.25">
      <c r="A72" s="228" t="s">
        <v>2</v>
      </c>
      <c r="B72" s="234" t="s">
        <v>77</v>
      </c>
      <c r="C72" s="230" t="s">
        <v>148</v>
      </c>
      <c r="D72" s="230" t="s">
        <v>149</v>
      </c>
      <c r="E72" s="229" t="s">
        <v>10</v>
      </c>
      <c r="F72" s="231">
        <v>32.1</v>
      </c>
      <c r="G72" s="229" t="s">
        <v>1</v>
      </c>
      <c r="H72" s="405">
        <f ca="1">INDEX(PRODUTIVIDADES!$M:$M,MATCH(tbAREAS[[#This Row],[TIPO DE ÁREA]],PRODUTIVIDADES!$B:$B,0)+MATCH(tbAREAS[[#This Row],[LOCALIDADE]],PRODUTIVIDADES!$A:$A,0)-3)*tbAREAS[[#This Row],[ÁREA EM M²]]</f>
        <v>100.152</v>
      </c>
      <c r="L72" s="391"/>
    </row>
    <row r="73" spans="1:12" x14ac:dyDescent="0.25">
      <c r="A73" s="228" t="s">
        <v>2</v>
      </c>
      <c r="B73" s="234" t="s">
        <v>77</v>
      </c>
      <c r="C73" s="230" t="s">
        <v>148</v>
      </c>
      <c r="D73" s="230" t="s">
        <v>149</v>
      </c>
      <c r="E73" s="229" t="s">
        <v>14</v>
      </c>
      <c r="F73" s="231">
        <v>235.47</v>
      </c>
      <c r="G73" s="229" t="s">
        <v>1</v>
      </c>
      <c r="H73" s="405">
        <f ca="1">INDEX(PRODUTIVIDADES!$M:$M,MATCH(tbAREAS[[#This Row],[TIPO DE ÁREA]],PRODUTIVIDADES!$B:$B,0)+MATCH(tbAREAS[[#This Row],[LOCALIDADE]],PRODUTIVIDADES!$A:$A,0)-3)*tbAREAS[[#This Row],[ÁREA EM M²]]</f>
        <v>2001.4949999999999</v>
      </c>
      <c r="L73" s="391"/>
    </row>
    <row r="74" spans="1:12" x14ac:dyDescent="0.25">
      <c r="A74" s="228" t="s">
        <v>2</v>
      </c>
      <c r="B74" s="234" t="s">
        <v>77</v>
      </c>
      <c r="C74" s="230" t="s">
        <v>148</v>
      </c>
      <c r="D74" s="230" t="s">
        <v>149</v>
      </c>
      <c r="E74" s="229" t="s">
        <v>17</v>
      </c>
      <c r="F74" s="231">
        <v>50</v>
      </c>
      <c r="G74" s="229" t="s">
        <v>1</v>
      </c>
      <c r="H74" s="405">
        <f ca="1">INDEX(PRODUTIVIDADES!$M:$M,MATCH(tbAREAS[[#This Row],[TIPO DE ÁREA]],PRODUTIVIDADES!$B:$B,0)+MATCH(tbAREAS[[#This Row],[LOCALIDADE]],PRODUTIVIDADES!$A:$A,0)-3)*tbAREAS[[#This Row],[ÁREA EM M²]]</f>
        <v>117</v>
      </c>
      <c r="L74" s="391"/>
    </row>
    <row r="75" spans="1:12" x14ac:dyDescent="0.25">
      <c r="A75" s="228" t="s">
        <v>2</v>
      </c>
      <c r="B75" s="234" t="s">
        <v>77</v>
      </c>
      <c r="C75" s="230" t="s">
        <v>148</v>
      </c>
      <c r="D75" s="230" t="s">
        <v>149</v>
      </c>
      <c r="E75" s="229" t="s">
        <v>18</v>
      </c>
      <c r="F75" s="231">
        <v>17.100000000000001</v>
      </c>
      <c r="G75" s="229" t="s">
        <v>1</v>
      </c>
      <c r="H75" s="405">
        <f ca="1">INDEX(PRODUTIVIDADES!$M:$M,MATCH(tbAREAS[[#This Row],[TIPO DE ÁREA]],PRODUTIVIDADES!$B:$B,0)+MATCH(tbAREAS[[#This Row],[LOCALIDADE]],PRODUTIVIDADES!$A:$A,0)-3)*tbAREAS[[#This Row],[ÁREA EM M²]]</f>
        <v>775.48500000000013</v>
      </c>
      <c r="L75" s="391"/>
    </row>
    <row r="76" spans="1:12" x14ac:dyDescent="0.25">
      <c r="A76" s="228" t="s">
        <v>2</v>
      </c>
      <c r="B76" s="234" t="s">
        <v>77</v>
      </c>
      <c r="C76" s="230" t="s">
        <v>148</v>
      </c>
      <c r="D76" s="230" t="s">
        <v>149</v>
      </c>
      <c r="E76" s="229" t="s">
        <v>21</v>
      </c>
      <c r="F76" s="231">
        <v>65.77</v>
      </c>
      <c r="G76" s="229" t="s">
        <v>1</v>
      </c>
      <c r="H76" s="405">
        <f ca="1">INDEX(PRODUTIVIDADES!$M:$M,MATCH(tbAREAS[[#This Row],[TIPO DE ÁREA]],PRODUTIVIDADES!$B:$B,0)+MATCH(tbAREAS[[#This Row],[LOCALIDADE]],PRODUTIVIDADES!$A:$A,0)-3)*tbAREAS[[#This Row],[ÁREA EM M²]]</f>
        <v>11.180899999999999</v>
      </c>
      <c r="L76" s="391"/>
    </row>
    <row r="77" spans="1:12" x14ac:dyDescent="0.25">
      <c r="A77" s="228" t="s">
        <v>2</v>
      </c>
      <c r="B77" s="234" t="s">
        <v>77</v>
      </c>
      <c r="C77" s="230" t="s">
        <v>148</v>
      </c>
      <c r="D77" s="230" t="s">
        <v>149</v>
      </c>
      <c r="E77" s="229" t="s">
        <v>22</v>
      </c>
      <c r="F77" s="231">
        <v>65.77</v>
      </c>
      <c r="G77" s="229" t="s">
        <v>1</v>
      </c>
      <c r="H77" s="405">
        <f ca="1">INDEX(PRODUTIVIDADES!$M:$M,MATCH(tbAREAS[[#This Row],[TIPO DE ÁREA]],PRODUTIVIDADES!$B:$B,0)+MATCH(tbAREAS[[#This Row],[LOCALIDADE]],PRODUTIVIDADES!$A:$A,0)-3)*tbAREAS[[#This Row],[ÁREA EM M²]]</f>
        <v>26.308</v>
      </c>
      <c r="L77" s="391"/>
    </row>
    <row r="78" spans="1:12" hidden="1" x14ac:dyDescent="0.25">
      <c r="A78" s="228" t="s">
        <v>2</v>
      </c>
      <c r="B78" s="234" t="s">
        <v>77</v>
      </c>
      <c r="C78" s="230" t="s">
        <v>150</v>
      </c>
      <c r="D78" s="230" t="s">
        <v>149</v>
      </c>
      <c r="E78" s="229" t="s">
        <v>9</v>
      </c>
      <c r="F78" s="231">
        <v>32.17</v>
      </c>
      <c r="G78" s="229" t="s">
        <v>1</v>
      </c>
      <c r="H78" s="405">
        <f ca="1">INDEX(PRODUTIVIDADES!$M:$M,MATCH(tbAREAS[[#This Row],[TIPO DE ÁREA]],PRODUTIVIDADES!$B:$B,0)+MATCH(tbAREAS[[#This Row],[LOCALIDADE]],PRODUTIVIDADES!$A:$A,0)-3)*tbAREAS[[#This Row],[ÁREA EM M²]]</f>
        <v>250.92600000000002</v>
      </c>
      <c r="L78" s="391"/>
    </row>
    <row r="79" spans="1:12" hidden="1" x14ac:dyDescent="0.25">
      <c r="A79" s="228" t="s">
        <v>2</v>
      </c>
      <c r="B79" s="234" t="s">
        <v>77</v>
      </c>
      <c r="C79" s="230" t="s">
        <v>150</v>
      </c>
      <c r="D79" s="230" t="s">
        <v>149</v>
      </c>
      <c r="E79" s="229" t="s">
        <v>10</v>
      </c>
      <c r="F79" s="231">
        <v>54.45</v>
      </c>
      <c r="G79" s="229" t="s">
        <v>1</v>
      </c>
      <c r="H79" s="405">
        <f ca="1">INDEX(PRODUTIVIDADES!$M:$M,MATCH(tbAREAS[[#This Row],[TIPO DE ÁREA]],PRODUTIVIDADES!$B:$B,0)+MATCH(tbAREAS[[#This Row],[LOCALIDADE]],PRODUTIVIDADES!$A:$A,0)-3)*tbAREAS[[#This Row],[ÁREA EM M²]]</f>
        <v>169.88400000000001</v>
      </c>
      <c r="L79" s="391"/>
    </row>
    <row r="80" spans="1:12" hidden="1" x14ac:dyDescent="0.25">
      <c r="A80" s="228" t="s">
        <v>2</v>
      </c>
      <c r="B80" s="234" t="s">
        <v>77</v>
      </c>
      <c r="C80" s="230" t="s">
        <v>150</v>
      </c>
      <c r="D80" s="230" t="s">
        <v>149</v>
      </c>
      <c r="E80" s="229" t="s">
        <v>13</v>
      </c>
      <c r="F80" s="231">
        <v>81.760000000000005</v>
      </c>
      <c r="G80" s="229" t="s">
        <v>1</v>
      </c>
      <c r="H80" s="405">
        <f ca="1">INDEX(PRODUTIVIDADES!$M:$M,MATCH(tbAREAS[[#This Row],[TIPO DE ÁREA]],PRODUTIVIDADES!$B:$B,0)+MATCH(tbAREAS[[#This Row],[LOCALIDADE]],PRODUTIVIDADES!$A:$A,0)-3)*tbAREAS[[#This Row],[ÁREA EM M²]]</f>
        <v>255.09120000000001</v>
      </c>
      <c r="L80" s="391"/>
    </row>
    <row r="81" spans="1:12" hidden="1" x14ac:dyDescent="0.25">
      <c r="A81" s="228" t="s">
        <v>2</v>
      </c>
      <c r="B81" s="234" t="s">
        <v>77</v>
      </c>
      <c r="C81" s="230" t="s">
        <v>150</v>
      </c>
      <c r="D81" s="230" t="s">
        <v>149</v>
      </c>
      <c r="E81" s="229" t="s">
        <v>14</v>
      </c>
      <c r="F81" s="231">
        <v>92.33</v>
      </c>
      <c r="G81" s="229" t="s">
        <v>1</v>
      </c>
      <c r="H81" s="405">
        <f ca="1">INDEX(PRODUTIVIDADES!$M:$M,MATCH(tbAREAS[[#This Row],[TIPO DE ÁREA]],PRODUTIVIDADES!$B:$B,0)+MATCH(tbAREAS[[#This Row],[LOCALIDADE]],PRODUTIVIDADES!$A:$A,0)-3)*tbAREAS[[#This Row],[ÁREA EM M²]]</f>
        <v>784.80499999999995</v>
      </c>
      <c r="L81" s="391"/>
    </row>
    <row r="82" spans="1:12" hidden="1" x14ac:dyDescent="0.25">
      <c r="A82" s="228" t="s">
        <v>2</v>
      </c>
      <c r="B82" s="234" t="s">
        <v>77</v>
      </c>
      <c r="C82" s="230" t="s">
        <v>150</v>
      </c>
      <c r="D82" s="230" t="s">
        <v>149</v>
      </c>
      <c r="E82" s="229" t="s">
        <v>17</v>
      </c>
      <c r="F82" s="231">
        <v>59.13</v>
      </c>
      <c r="G82" s="229" t="s">
        <v>1</v>
      </c>
      <c r="H82" s="405">
        <f ca="1">INDEX(PRODUTIVIDADES!$M:$M,MATCH(tbAREAS[[#This Row],[TIPO DE ÁREA]],PRODUTIVIDADES!$B:$B,0)+MATCH(tbAREAS[[#This Row],[LOCALIDADE]],PRODUTIVIDADES!$A:$A,0)-3)*tbAREAS[[#This Row],[ÁREA EM M²]]</f>
        <v>138.36420000000001</v>
      </c>
      <c r="L82" s="391"/>
    </row>
    <row r="83" spans="1:12" hidden="1" x14ac:dyDescent="0.25">
      <c r="A83" s="228" t="s">
        <v>2</v>
      </c>
      <c r="B83" s="234" t="s">
        <v>77</v>
      </c>
      <c r="C83" s="230" t="s">
        <v>150</v>
      </c>
      <c r="D83" s="230" t="s">
        <v>149</v>
      </c>
      <c r="E83" s="229" t="s">
        <v>18</v>
      </c>
      <c r="F83" s="231">
        <v>9.35</v>
      </c>
      <c r="G83" s="229" t="s">
        <v>1</v>
      </c>
      <c r="H83" s="405">
        <f ca="1">INDEX(PRODUTIVIDADES!$M:$M,MATCH(tbAREAS[[#This Row],[TIPO DE ÁREA]],PRODUTIVIDADES!$B:$B,0)+MATCH(tbAREAS[[#This Row],[LOCALIDADE]],PRODUTIVIDADES!$A:$A,0)-3)*tbAREAS[[#This Row],[ÁREA EM M²]]</f>
        <v>424.02249999999998</v>
      </c>
      <c r="L83" s="391"/>
    </row>
    <row r="84" spans="1:12" hidden="1" x14ac:dyDescent="0.25">
      <c r="A84" s="228" t="s">
        <v>2</v>
      </c>
      <c r="B84" s="234" t="s">
        <v>77</v>
      </c>
      <c r="C84" s="230" t="s">
        <v>150</v>
      </c>
      <c r="D84" s="230" t="s">
        <v>149</v>
      </c>
      <c r="E84" s="229" t="s">
        <v>20</v>
      </c>
      <c r="F84" s="231">
        <v>23.46</v>
      </c>
      <c r="G84" s="229" t="s">
        <v>1</v>
      </c>
      <c r="H84" s="405">
        <f ca="1">INDEX(PRODUTIVIDADES!$M:$M,MATCH(tbAREAS[[#This Row],[TIPO DE ÁREA]],PRODUTIVIDADES!$B:$B,0)+MATCH(tbAREAS[[#This Row],[LOCALIDADE]],PRODUTIVIDADES!$A:$A,0)-3)*tbAREAS[[#This Row],[ÁREA EM M²]]</f>
        <v>18.2988</v>
      </c>
      <c r="L84" s="391"/>
    </row>
    <row r="85" spans="1:12" hidden="1" x14ac:dyDescent="0.25">
      <c r="A85" s="228" t="s">
        <v>2</v>
      </c>
      <c r="B85" s="234" t="s">
        <v>77</v>
      </c>
      <c r="C85" s="230" t="s">
        <v>150</v>
      </c>
      <c r="D85" s="230" t="s">
        <v>149</v>
      </c>
      <c r="E85" s="229" t="s">
        <v>21</v>
      </c>
      <c r="F85" s="231">
        <v>52.15</v>
      </c>
      <c r="G85" s="229" t="s">
        <v>1</v>
      </c>
      <c r="H85" s="405">
        <f ca="1">INDEX(PRODUTIVIDADES!$M:$M,MATCH(tbAREAS[[#This Row],[TIPO DE ÁREA]],PRODUTIVIDADES!$B:$B,0)+MATCH(tbAREAS[[#This Row],[LOCALIDADE]],PRODUTIVIDADES!$A:$A,0)-3)*tbAREAS[[#This Row],[ÁREA EM M²]]</f>
        <v>8.8655000000000008</v>
      </c>
      <c r="L85" s="391"/>
    </row>
    <row r="86" spans="1:12" hidden="1" x14ac:dyDescent="0.25">
      <c r="A86" s="228" t="s">
        <v>2</v>
      </c>
      <c r="B86" s="234" t="s">
        <v>77</v>
      </c>
      <c r="C86" s="230" t="s">
        <v>150</v>
      </c>
      <c r="D86" s="230" t="s">
        <v>149</v>
      </c>
      <c r="E86" s="229" t="s">
        <v>22</v>
      </c>
      <c r="F86" s="231">
        <v>52.15</v>
      </c>
      <c r="G86" s="229" t="s">
        <v>1</v>
      </c>
      <c r="H86" s="405">
        <f ca="1">INDEX(PRODUTIVIDADES!$M:$M,MATCH(tbAREAS[[#This Row],[TIPO DE ÁREA]],PRODUTIVIDADES!$B:$B,0)+MATCH(tbAREAS[[#This Row],[LOCALIDADE]],PRODUTIVIDADES!$A:$A,0)-3)*tbAREAS[[#This Row],[ÁREA EM M²]]</f>
        <v>20.86</v>
      </c>
      <c r="L86" s="391"/>
    </row>
    <row r="87" spans="1:12" hidden="1" x14ac:dyDescent="0.25">
      <c r="A87" s="228" t="s">
        <v>2</v>
      </c>
      <c r="B87" s="234" t="s">
        <v>77</v>
      </c>
      <c r="C87" s="230" t="s">
        <v>151</v>
      </c>
      <c r="D87" s="230" t="s">
        <v>152</v>
      </c>
      <c r="E87" s="229" t="s">
        <v>10</v>
      </c>
      <c r="F87" s="231">
        <v>93.08</v>
      </c>
      <c r="G87" s="229" t="s">
        <v>1</v>
      </c>
      <c r="H87" s="405">
        <f ca="1">INDEX(PRODUTIVIDADES!$M:$M,MATCH(tbAREAS[[#This Row],[TIPO DE ÁREA]],PRODUTIVIDADES!$B:$B,0)+MATCH(tbAREAS[[#This Row],[LOCALIDADE]],PRODUTIVIDADES!$A:$A,0)-3)*tbAREAS[[#This Row],[ÁREA EM M²]]</f>
        <v>290.40960000000001</v>
      </c>
      <c r="L87" s="391"/>
    </row>
    <row r="88" spans="1:12" hidden="1" x14ac:dyDescent="0.25">
      <c r="A88" s="228" t="s">
        <v>2</v>
      </c>
      <c r="B88" s="234" t="s">
        <v>77</v>
      </c>
      <c r="C88" s="230" t="s">
        <v>151</v>
      </c>
      <c r="D88" s="230" t="s">
        <v>152</v>
      </c>
      <c r="E88" s="229" t="s">
        <v>13</v>
      </c>
      <c r="F88" s="231">
        <v>44.85</v>
      </c>
      <c r="G88" s="229" t="s">
        <v>1</v>
      </c>
      <c r="H88" s="405">
        <f ca="1">INDEX(PRODUTIVIDADES!$M:$M,MATCH(tbAREAS[[#This Row],[TIPO DE ÁREA]],PRODUTIVIDADES!$B:$B,0)+MATCH(tbAREAS[[#This Row],[LOCALIDADE]],PRODUTIVIDADES!$A:$A,0)-3)*tbAREAS[[#This Row],[ÁREA EM M²]]</f>
        <v>139.93200000000002</v>
      </c>
      <c r="L88" s="391"/>
    </row>
    <row r="89" spans="1:12" hidden="1" x14ac:dyDescent="0.25">
      <c r="A89" s="228" t="s">
        <v>2</v>
      </c>
      <c r="B89" s="234" t="s">
        <v>77</v>
      </c>
      <c r="C89" s="230" t="s">
        <v>151</v>
      </c>
      <c r="D89" s="230" t="s">
        <v>152</v>
      </c>
      <c r="E89" s="229" t="s">
        <v>14</v>
      </c>
      <c r="F89" s="231">
        <v>177.92</v>
      </c>
      <c r="G89" s="229" t="s">
        <v>1</v>
      </c>
      <c r="H89" s="405">
        <f ca="1">INDEX(PRODUTIVIDADES!$M:$M,MATCH(tbAREAS[[#This Row],[TIPO DE ÁREA]],PRODUTIVIDADES!$B:$B,0)+MATCH(tbAREAS[[#This Row],[LOCALIDADE]],PRODUTIVIDADES!$A:$A,0)-3)*tbAREAS[[#This Row],[ÁREA EM M²]]</f>
        <v>1512.32</v>
      </c>
      <c r="L89" s="391"/>
    </row>
    <row r="90" spans="1:12" hidden="1" x14ac:dyDescent="0.25">
      <c r="A90" s="228" t="s">
        <v>2</v>
      </c>
      <c r="B90" s="234" t="s">
        <v>77</v>
      </c>
      <c r="C90" s="230" t="s">
        <v>151</v>
      </c>
      <c r="D90" s="230" t="s">
        <v>152</v>
      </c>
      <c r="E90" s="229" t="s">
        <v>15</v>
      </c>
      <c r="F90" s="231">
        <v>44.12</v>
      </c>
      <c r="G90" s="229" t="s">
        <v>1</v>
      </c>
      <c r="H90" s="405">
        <f ca="1">INDEX(PRODUTIVIDADES!$M:$M,MATCH(tbAREAS[[#This Row],[TIPO DE ÁREA]],PRODUTIVIDADES!$B:$B,0)+MATCH(tbAREAS[[#This Row],[LOCALIDADE]],PRODUTIVIDADES!$A:$A,0)-3)*tbAREAS[[#This Row],[ÁREA EM M²]]</f>
        <v>30.442799999999995</v>
      </c>
      <c r="L90" s="391"/>
    </row>
    <row r="91" spans="1:12" hidden="1" x14ac:dyDescent="0.25">
      <c r="A91" s="228" t="s">
        <v>2</v>
      </c>
      <c r="B91" s="234" t="s">
        <v>77</v>
      </c>
      <c r="C91" s="230" t="s">
        <v>151</v>
      </c>
      <c r="D91" s="230" t="s">
        <v>152</v>
      </c>
      <c r="E91" s="229" t="s">
        <v>17</v>
      </c>
      <c r="F91" s="231">
        <v>150.32</v>
      </c>
      <c r="G91" s="229" t="s">
        <v>1</v>
      </c>
      <c r="H91" s="405">
        <f ca="1">INDEX(PRODUTIVIDADES!$M:$M,MATCH(tbAREAS[[#This Row],[TIPO DE ÁREA]],PRODUTIVIDADES!$B:$B,0)+MATCH(tbAREAS[[#This Row],[LOCALIDADE]],PRODUTIVIDADES!$A:$A,0)-3)*tbAREAS[[#This Row],[ÁREA EM M²]]</f>
        <v>351.74879999999996</v>
      </c>
      <c r="L91" s="391"/>
    </row>
    <row r="92" spans="1:12" hidden="1" x14ac:dyDescent="0.25">
      <c r="A92" s="228" t="s">
        <v>2</v>
      </c>
      <c r="B92" s="234" t="s">
        <v>77</v>
      </c>
      <c r="C92" s="230" t="s">
        <v>151</v>
      </c>
      <c r="D92" s="230" t="s">
        <v>152</v>
      </c>
      <c r="E92" s="229" t="s">
        <v>18</v>
      </c>
      <c r="F92" s="231">
        <v>25.2</v>
      </c>
      <c r="G92" s="229" t="s">
        <v>1</v>
      </c>
      <c r="H92" s="405">
        <f ca="1">INDEX(PRODUTIVIDADES!$M:$M,MATCH(tbAREAS[[#This Row],[TIPO DE ÁREA]],PRODUTIVIDADES!$B:$B,0)+MATCH(tbAREAS[[#This Row],[LOCALIDADE]],PRODUTIVIDADES!$A:$A,0)-3)*tbAREAS[[#This Row],[ÁREA EM M²]]</f>
        <v>1142.82</v>
      </c>
      <c r="L92" s="391"/>
    </row>
    <row r="93" spans="1:12" hidden="1" x14ac:dyDescent="0.25">
      <c r="A93" s="228" t="s">
        <v>2</v>
      </c>
      <c r="B93" s="234" t="s">
        <v>77</v>
      </c>
      <c r="C93" s="230" t="s">
        <v>151</v>
      </c>
      <c r="D93" s="230" t="s">
        <v>152</v>
      </c>
      <c r="E93" s="229" t="s">
        <v>21</v>
      </c>
      <c r="F93" s="231">
        <v>145.66999999999999</v>
      </c>
      <c r="G93" s="229" t="s">
        <v>1</v>
      </c>
      <c r="H93" s="405">
        <f ca="1">INDEX(PRODUTIVIDADES!$M:$M,MATCH(tbAREAS[[#This Row],[TIPO DE ÁREA]],PRODUTIVIDADES!$B:$B,0)+MATCH(tbAREAS[[#This Row],[LOCALIDADE]],PRODUTIVIDADES!$A:$A,0)-3)*tbAREAS[[#This Row],[ÁREA EM M²]]</f>
        <v>24.7639</v>
      </c>
      <c r="L93" s="391"/>
    </row>
    <row r="94" spans="1:12" hidden="1" x14ac:dyDescent="0.25">
      <c r="A94" s="228" t="s">
        <v>2</v>
      </c>
      <c r="B94" s="234" t="s">
        <v>77</v>
      </c>
      <c r="C94" s="230" t="s">
        <v>151</v>
      </c>
      <c r="D94" s="230" t="s">
        <v>152</v>
      </c>
      <c r="E94" s="229" t="s">
        <v>22</v>
      </c>
      <c r="F94" s="231">
        <v>145.66999999999999</v>
      </c>
      <c r="G94" s="229" t="s">
        <v>1</v>
      </c>
      <c r="H94" s="405">
        <f ca="1">INDEX(PRODUTIVIDADES!$M:$M,MATCH(tbAREAS[[#This Row],[TIPO DE ÁREA]],PRODUTIVIDADES!$B:$B,0)+MATCH(tbAREAS[[#This Row],[LOCALIDADE]],PRODUTIVIDADES!$A:$A,0)-3)*tbAREAS[[#This Row],[ÁREA EM M²]]</f>
        <v>58.268000000000001</v>
      </c>
      <c r="L94" s="391"/>
    </row>
    <row r="95" spans="1:12" hidden="1" x14ac:dyDescent="0.25">
      <c r="A95" s="228" t="s">
        <v>2</v>
      </c>
      <c r="B95" s="234" t="s">
        <v>77</v>
      </c>
      <c r="C95" s="230" t="s">
        <v>153</v>
      </c>
      <c r="D95" s="230" t="s">
        <v>154</v>
      </c>
      <c r="E95" s="229" t="s">
        <v>10</v>
      </c>
      <c r="F95" s="231">
        <v>51.67</v>
      </c>
      <c r="G95" s="229" t="s">
        <v>1</v>
      </c>
      <c r="H95" s="405">
        <f ca="1">INDEX(PRODUTIVIDADES!$M:$M,MATCH(tbAREAS[[#This Row],[TIPO DE ÁREA]],PRODUTIVIDADES!$B:$B,0)+MATCH(tbAREAS[[#This Row],[LOCALIDADE]],PRODUTIVIDADES!$A:$A,0)-3)*tbAREAS[[#This Row],[ÁREA EM M²]]</f>
        <v>161.21040000000002</v>
      </c>
      <c r="L95" s="391"/>
    </row>
    <row r="96" spans="1:12" hidden="1" x14ac:dyDescent="0.25">
      <c r="A96" s="228" t="s">
        <v>2</v>
      </c>
      <c r="B96" s="234" t="s">
        <v>77</v>
      </c>
      <c r="C96" s="230" t="s">
        <v>153</v>
      </c>
      <c r="D96" s="230" t="s">
        <v>154</v>
      </c>
      <c r="E96" s="229" t="s">
        <v>13</v>
      </c>
      <c r="F96" s="231">
        <v>64.98</v>
      </c>
      <c r="G96" s="229" t="s">
        <v>1</v>
      </c>
      <c r="H96" s="405">
        <f ca="1">INDEX(PRODUTIVIDADES!$M:$M,MATCH(tbAREAS[[#This Row],[TIPO DE ÁREA]],PRODUTIVIDADES!$B:$B,0)+MATCH(tbAREAS[[#This Row],[LOCALIDADE]],PRODUTIVIDADES!$A:$A,0)-3)*tbAREAS[[#This Row],[ÁREA EM M²]]</f>
        <v>202.73760000000001</v>
      </c>
      <c r="L96" s="391"/>
    </row>
    <row r="97" spans="1:12" hidden="1" x14ac:dyDescent="0.25">
      <c r="A97" s="228" t="s">
        <v>2</v>
      </c>
      <c r="B97" s="234" t="s">
        <v>77</v>
      </c>
      <c r="C97" s="230" t="s">
        <v>153</v>
      </c>
      <c r="D97" s="230" t="s">
        <v>154</v>
      </c>
      <c r="E97" s="229" t="s">
        <v>15</v>
      </c>
      <c r="F97" s="231">
        <v>8.91</v>
      </c>
      <c r="G97" s="229" t="s">
        <v>1</v>
      </c>
      <c r="H97" s="405">
        <f ca="1">INDEX(PRODUTIVIDADES!$M:$M,MATCH(tbAREAS[[#This Row],[TIPO DE ÁREA]],PRODUTIVIDADES!$B:$B,0)+MATCH(tbAREAS[[#This Row],[LOCALIDADE]],PRODUTIVIDADES!$A:$A,0)-3)*tbAREAS[[#This Row],[ÁREA EM M²]]</f>
        <v>6.1478999999999999</v>
      </c>
      <c r="L97" s="391"/>
    </row>
    <row r="98" spans="1:12" hidden="1" x14ac:dyDescent="0.25">
      <c r="A98" s="228" t="s">
        <v>2</v>
      </c>
      <c r="B98" s="234" t="s">
        <v>77</v>
      </c>
      <c r="C98" s="230" t="s">
        <v>153</v>
      </c>
      <c r="D98" s="230" t="s">
        <v>154</v>
      </c>
      <c r="E98" s="229" t="s">
        <v>18</v>
      </c>
      <c r="F98" s="231">
        <v>7.56</v>
      </c>
      <c r="G98" s="229" t="s">
        <v>1</v>
      </c>
      <c r="H98" s="405">
        <f ca="1">INDEX(PRODUTIVIDADES!$M:$M,MATCH(tbAREAS[[#This Row],[TIPO DE ÁREA]],PRODUTIVIDADES!$B:$B,0)+MATCH(tbAREAS[[#This Row],[LOCALIDADE]],PRODUTIVIDADES!$A:$A,0)-3)*tbAREAS[[#This Row],[ÁREA EM M²]]</f>
        <v>342.846</v>
      </c>
      <c r="L98" s="391"/>
    </row>
    <row r="99" spans="1:12" hidden="1" x14ac:dyDescent="0.25">
      <c r="A99" s="228" t="s">
        <v>2</v>
      </c>
      <c r="B99" s="234" t="s">
        <v>77</v>
      </c>
      <c r="C99" s="230" t="s">
        <v>153</v>
      </c>
      <c r="D99" s="230" t="s">
        <v>154</v>
      </c>
      <c r="E99" s="229" t="s">
        <v>20</v>
      </c>
      <c r="F99" s="231">
        <v>117.59</v>
      </c>
      <c r="G99" s="229" t="s">
        <v>1</v>
      </c>
      <c r="H99" s="405">
        <f ca="1">INDEX(PRODUTIVIDADES!$M:$M,MATCH(tbAREAS[[#This Row],[TIPO DE ÁREA]],PRODUTIVIDADES!$B:$B,0)+MATCH(tbAREAS[[#This Row],[LOCALIDADE]],PRODUTIVIDADES!$A:$A,0)-3)*tbAREAS[[#This Row],[ÁREA EM M²]]</f>
        <v>91.720200000000006</v>
      </c>
      <c r="L99" s="391"/>
    </row>
    <row r="100" spans="1:12" hidden="1" x14ac:dyDescent="0.25">
      <c r="A100" s="228" t="s">
        <v>2</v>
      </c>
      <c r="B100" s="234" t="s">
        <v>77</v>
      </c>
      <c r="C100" s="230" t="s">
        <v>153</v>
      </c>
      <c r="D100" s="230" t="s">
        <v>154</v>
      </c>
      <c r="E100" s="229" t="s">
        <v>21</v>
      </c>
      <c r="F100" s="231">
        <v>60.44</v>
      </c>
      <c r="G100" s="229" t="s">
        <v>1</v>
      </c>
      <c r="H100" s="405">
        <f ca="1">INDEX(PRODUTIVIDADES!$M:$M,MATCH(tbAREAS[[#This Row],[TIPO DE ÁREA]],PRODUTIVIDADES!$B:$B,0)+MATCH(tbAREAS[[#This Row],[LOCALIDADE]],PRODUTIVIDADES!$A:$A,0)-3)*tbAREAS[[#This Row],[ÁREA EM M²]]</f>
        <v>10.274800000000001</v>
      </c>
      <c r="L100" s="391"/>
    </row>
    <row r="101" spans="1:12" hidden="1" x14ac:dyDescent="0.25">
      <c r="A101" s="228" t="s">
        <v>2</v>
      </c>
      <c r="B101" s="234" t="s">
        <v>77</v>
      </c>
      <c r="C101" s="230" t="s">
        <v>153</v>
      </c>
      <c r="D101" s="230" t="s">
        <v>154</v>
      </c>
      <c r="E101" s="229" t="s">
        <v>22</v>
      </c>
      <c r="F101" s="231">
        <v>60.44</v>
      </c>
      <c r="G101" s="229" t="s">
        <v>1</v>
      </c>
      <c r="H101" s="405">
        <f ca="1">INDEX(PRODUTIVIDADES!$M:$M,MATCH(tbAREAS[[#This Row],[TIPO DE ÁREA]],PRODUTIVIDADES!$B:$B,0)+MATCH(tbAREAS[[#This Row],[LOCALIDADE]],PRODUTIVIDADES!$A:$A,0)-3)*tbAREAS[[#This Row],[ÁREA EM M²]]</f>
        <v>24.176000000000002</v>
      </c>
      <c r="L101" s="391"/>
    </row>
    <row r="102" spans="1:12" hidden="1" x14ac:dyDescent="0.25">
      <c r="A102" s="228" t="s">
        <v>2</v>
      </c>
      <c r="B102" s="234" t="s">
        <v>77</v>
      </c>
      <c r="C102" s="230" t="s">
        <v>155</v>
      </c>
      <c r="D102" s="230" t="s">
        <v>154</v>
      </c>
      <c r="E102" s="229" t="s">
        <v>10</v>
      </c>
      <c r="F102" s="231">
        <v>48.22</v>
      </c>
      <c r="G102" s="229" t="s">
        <v>1</v>
      </c>
      <c r="H102" s="405">
        <f ca="1">INDEX(PRODUTIVIDADES!$M:$M,MATCH(tbAREAS[[#This Row],[TIPO DE ÁREA]],PRODUTIVIDADES!$B:$B,0)+MATCH(tbAREAS[[#This Row],[LOCALIDADE]],PRODUTIVIDADES!$A:$A,0)-3)*tbAREAS[[#This Row],[ÁREA EM M²]]</f>
        <v>150.44640000000001</v>
      </c>
      <c r="L102" s="391"/>
    </row>
    <row r="103" spans="1:12" hidden="1" x14ac:dyDescent="0.25">
      <c r="A103" s="228" t="s">
        <v>2</v>
      </c>
      <c r="B103" s="234" t="s">
        <v>77</v>
      </c>
      <c r="C103" s="230" t="s">
        <v>155</v>
      </c>
      <c r="D103" s="230" t="s">
        <v>154</v>
      </c>
      <c r="E103" s="229" t="s">
        <v>18</v>
      </c>
      <c r="F103" s="231">
        <v>12.6</v>
      </c>
      <c r="G103" s="229" t="s">
        <v>1</v>
      </c>
      <c r="H103" s="405">
        <f ca="1">INDEX(PRODUTIVIDADES!$M:$M,MATCH(tbAREAS[[#This Row],[TIPO DE ÁREA]],PRODUTIVIDADES!$B:$B,0)+MATCH(tbAREAS[[#This Row],[LOCALIDADE]],PRODUTIVIDADES!$A:$A,0)-3)*tbAREAS[[#This Row],[ÁREA EM M²]]</f>
        <v>571.41</v>
      </c>
      <c r="L103" s="391"/>
    </row>
    <row r="104" spans="1:12" hidden="1" x14ac:dyDescent="0.25">
      <c r="A104" s="228" t="s">
        <v>2</v>
      </c>
      <c r="B104" s="234" t="s">
        <v>77</v>
      </c>
      <c r="C104" s="230" t="s">
        <v>155</v>
      </c>
      <c r="D104" s="230" t="s">
        <v>154</v>
      </c>
      <c r="E104" s="229" t="s">
        <v>21</v>
      </c>
      <c r="F104" s="231">
        <v>6.3</v>
      </c>
      <c r="G104" s="229" t="s">
        <v>1</v>
      </c>
      <c r="H104" s="405">
        <f ca="1">INDEX(PRODUTIVIDADES!$M:$M,MATCH(tbAREAS[[#This Row],[TIPO DE ÁREA]],PRODUTIVIDADES!$B:$B,0)+MATCH(tbAREAS[[#This Row],[LOCALIDADE]],PRODUTIVIDADES!$A:$A,0)-3)*tbAREAS[[#This Row],[ÁREA EM M²]]</f>
        <v>1.071</v>
      </c>
      <c r="L104" s="391"/>
    </row>
    <row r="105" spans="1:12" hidden="1" x14ac:dyDescent="0.25">
      <c r="A105" s="228" t="s">
        <v>2</v>
      </c>
      <c r="B105" s="234" t="s">
        <v>77</v>
      </c>
      <c r="C105" s="230" t="s">
        <v>155</v>
      </c>
      <c r="D105" s="230" t="s">
        <v>154</v>
      </c>
      <c r="E105" s="229" t="s">
        <v>22</v>
      </c>
      <c r="F105" s="231">
        <v>6.3</v>
      </c>
      <c r="G105" s="229" t="s">
        <v>1</v>
      </c>
      <c r="H105" s="405">
        <f ca="1">INDEX(PRODUTIVIDADES!$M:$M,MATCH(tbAREAS[[#This Row],[TIPO DE ÁREA]],PRODUTIVIDADES!$B:$B,0)+MATCH(tbAREAS[[#This Row],[LOCALIDADE]],PRODUTIVIDADES!$A:$A,0)-3)*tbAREAS[[#This Row],[ÁREA EM M²]]</f>
        <v>2.52</v>
      </c>
      <c r="L105" s="391"/>
    </row>
    <row r="106" spans="1:12" hidden="1" x14ac:dyDescent="0.25">
      <c r="A106" s="228" t="s">
        <v>2</v>
      </c>
      <c r="B106" s="234" t="s">
        <v>77</v>
      </c>
      <c r="C106" s="230" t="s">
        <v>156</v>
      </c>
      <c r="D106" s="230" t="s">
        <v>157</v>
      </c>
      <c r="E106" s="229" t="s">
        <v>9</v>
      </c>
      <c r="F106" s="231">
        <v>117.08</v>
      </c>
      <c r="G106" s="229" t="s">
        <v>1</v>
      </c>
      <c r="H106" s="405">
        <f ca="1">INDEX(PRODUTIVIDADES!$M:$M,MATCH(tbAREAS[[#This Row],[TIPO DE ÁREA]],PRODUTIVIDADES!$B:$B,0)+MATCH(tbAREAS[[#This Row],[LOCALIDADE]],PRODUTIVIDADES!$A:$A,0)-3)*tbAREAS[[#This Row],[ÁREA EM M²]]</f>
        <v>913.22399999999993</v>
      </c>
      <c r="L106" s="391"/>
    </row>
    <row r="107" spans="1:12" hidden="1" x14ac:dyDescent="0.25">
      <c r="A107" s="228" t="s">
        <v>2</v>
      </c>
      <c r="B107" s="234" t="s">
        <v>77</v>
      </c>
      <c r="C107" s="230" t="s">
        <v>156</v>
      </c>
      <c r="D107" s="230" t="s">
        <v>157</v>
      </c>
      <c r="E107" s="229" t="s">
        <v>10</v>
      </c>
      <c r="F107" s="231">
        <v>340.15</v>
      </c>
      <c r="G107" s="229" t="s">
        <v>1</v>
      </c>
      <c r="H107" s="405">
        <f ca="1">INDEX(PRODUTIVIDADES!$M:$M,MATCH(tbAREAS[[#This Row],[TIPO DE ÁREA]],PRODUTIVIDADES!$B:$B,0)+MATCH(tbAREAS[[#This Row],[LOCALIDADE]],PRODUTIVIDADES!$A:$A,0)-3)*tbAREAS[[#This Row],[ÁREA EM M²]]</f>
        <v>1061.268</v>
      </c>
      <c r="L107" s="391"/>
    </row>
    <row r="108" spans="1:12" hidden="1" x14ac:dyDescent="0.25">
      <c r="A108" s="228" t="s">
        <v>2</v>
      </c>
      <c r="B108" s="234" t="s">
        <v>77</v>
      </c>
      <c r="C108" s="230" t="s">
        <v>156</v>
      </c>
      <c r="D108" s="230" t="s">
        <v>157</v>
      </c>
      <c r="E108" s="229" t="s">
        <v>14</v>
      </c>
      <c r="F108" s="231">
        <v>507.66</v>
      </c>
      <c r="G108" s="229" t="s">
        <v>1</v>
      </c>
      <c r="H108" s="405">
        <f ca="1">INDEX(PRODUTIVIDADES!$M:$M,MATCH(tbAREAS[[#This Row],[TIPO DE ÁREA]],PRODUTIVIDADES!$B:$B,0)+MATCH(tbAREAS[[#This Row],[LOCALIDADE]],PRODUTIVIDADES!$A:$A,0)-3)*tbAREAS[[#This Row],[ÁREA EM M²]]</f>
        <v>4315.1100000000006</v>
      </c>
      <c r="L108" s="391"/>
    </row>
    <row r="109" spans="1:12" hidden="1" x14ac:dyDescent="0.25">
      <c r="A109" s="228" t="s">
        <v>2</v>
      </c>
      <c r="B109" s="234" t="s">
        <v>77</v>
      </c>
      <c r="C109" s="230" t="s">
        <v>156</v>
      </c>
      <c r="D109" s="230" t="s">
        <v>157</v>
      </c>
      <c r="E109" s="229" t="s">
        <v>17</v>
      </c>
      <c r="F109" s="231">
        <v>379.82</v>
      </c>
      <c r="G109" s="229" t="s">
        <v>1</v>
      </c>
      <c r="H109" s="405">
        <f ca="1">INDEX(PRODUTIVIDADES!$M:$M,MATCH(tbAREAS[[#This Row],[TIPO DE ÁREA]],PRODUTIVIDADES!$B:$B,0)+MATCH(tbAREAS[[#This Row],[LOCALIDADE]],PRODUTIVIDADES!$A:$A,0)-3)*tbAREAS[[#This Row],[ÁREA EM M²]]</f>
        <v>888.77879999999993</v>
      </c>
      <c r="L109" s="391"/>
    </row>
    <row r="110" spans="1:12" hidden="1" x14ac:dyDescent="0.25">
      <c r="A110" s="228" t="s">
        <v>2</v>
      </c>
      <c r="B110" s="234" t="s">
        <v>77</v>
      </c>
      <c r="C110" s="230" t="s">
        <v>156</v>
      </c>
      <c r="D110" s="230" t="s">
        <v>157</v>
      </c>
      <c r="E110" s="229" t="s">
        <v>18</v>
      </c>
      <c r="F110" s="231">
        <v>59.19</v>
      </c>
      <c r="G110" s="229" t="s">
        <v>1</v>
      </c>
      <c r="H110" s="405">
        <f ca="1">INDEX(PRODUTIVIDADES!$M:$M,MATCH(tbAREAS[[#This Row],[TIPO DE ÁREA]],PRODUTIVIDADES!$B:$B,0)+MATCH(tbAREAS[[#This Row],[LOCALIDADE]],PRODUTIVIDADES!$A:$A,0)-3)*tbAREAS[[#This Row],[ÁREA EM M²]]</f>
        <v>2684.2665000000002</v>
      </c>
      <c r="L110" s="391"/>
    </row>
    <row r="111" spans="1:12" hidden="1" x14ac:dyDescent="0.25">
      <c r="A111" s="228" t="s">
        <v>2</v>
      </c>
      <c r="B111" s="234" t="s">
        <v>77</v>
      </c>
      <c r="C111" s="230" t="s">
        <v>156</v>
      </c>
      <c r="D111" s="230" t="s">
        <v>157</v>
      </c>
      <c r="E111" s="229" t="s">
        <v>21</v>
      </c>
      <c r="F111" s="231">
        <v>213.12</v>
      </c>
      <c r="G111" s="229" t="s">
        <v>1</v>
      </c>
      <c r="H111" s="405">
        <f ca="1">INDEX(PRODUTIVIDADES!$M:$M,MATCH(tbAREAS[[#This Row],[TIPO DE ÁREA]],PRODUTIVIDADES!$B:$B,0)+MATCH(tbAREAS[[#This Row],[LOCALIDADE]],PRODUTIVIDADES!$A:$A,0)-3)*tbAREAS[[#This Row],[ÁREA EM M²]]</f>
        <v>36.230400000000003</v>
      </c>
      <c r="L111" s="391"/>
    </row>
    <row r="112" spans="1:12" hidden="1" x14ac:dyDescent="0.25">
      <c r="A112" s="228" t="s">
        <v>2</v>
      </c>
      <c r="B112" s="234" t="s">
        <v>77</v>
      </c>
      <c r="C112" s="230" t="s">
        <v>156</v>
      </c>
      <c r="D112" s="230" t="s">
        <v>157</v>
      </c>
      <c r="E112" s="229" t="s">
        <v>22</v>
      </c>
      <c r="F112" s="231">
        <v>213.12</v>
      </c>
      <c r="G112" s="229" t="s">
        <v>1</v>
      </c>
      <c r="H112" s="405">
        <f ca="1">INDEX(PRODUTIVIDADES!$M:$M,MATCH(tbAREAS[[#This Row],[TIPO DE ÁREA]],PRODUTIVIDADES!$B:$B,0)+MATCH(tbAREAS[[#This Row],[LOCALIDADE]],PRODUTIVIDADES!$A:$A,0)-3)*tbAREAS[[#This Row],[ÁREA EM M²]]</f>
        <v>85.248000000000005</v>
      </c>
      <c r="L112" s="391"/>
    </row>
    <row r="113" spans="1:12" hidden="1" x14ac:dyDescent="0.25">
      <c r="A113" s="228" t="s">
        <v>2</v>
      </c>
      <c r="B113" s="234" t="s">
        <v>77</v>
      </c>
      <c r="C113" s="230" t="s">
        <v>158</v>
      </c>
      <c r="D113" s="230" t="s">
        <v>159</v>
      </c>
      <c r="E113" s="229" t="s">
        <v>10</v>
      </c>
      <c r="F113" s="231">
        <v>66.209999999999994</v>
      </c>
      <c r="G113" s="229" t="s">
        <v>1</v>
      </c>
      <c r="H113" s="405">
        <f ca="1">INDEX(PRODUTIVIDADES!$M:$M,MATCH(tbAREAS[[#This Row],[TIPO DE ÁREA]],PRODUTIVIDADES!$B:$B,0)+MATCH(tbAREAS[[#This Row],[LOCALIDADE]],PRODUTIVIDADES!$A:$A,0)-3)*tbAREAS[[#This Row],[ÁREA EM M²]]</f>
        <v>206.5752</v>
      </c>
      <c r="L113" s="391"/>
    </row>
    <row r="114" spans="1:12" hidden="1" x14ac:dyDescent="0.25">
      <c r="A114" s="228" t="s">
        <v>2</v>
      </c>
      <c r="B114" s="234" t="s">
        <v>77</v>
      </c>
      <c r="C114" s="230" t="s">
        <v>158</v>
      </c>
      <c r="D114" s="230" t="s">
        <v>159</v>
      </c>
      <c r="E114" s="229" t="s">
        <v>11</v>
      </c>
      <c r="F114" s="231">
        <v>41.27</v>
      </c>
      <c r="G114" s="229" t="s">
        <v>1</v>
      </c>
      <c r="H114" s="405">
        <f ca="1">INDEX(PRODUTIVIDADES!$M:$M,MATCH(tbAREAS[[#This Row],[TIPO DE ÁREA]],PRODUTIVIDADES!$B:$B,0)+MATCH(tbAREAS[[#This Row],[LOCALIDADE]],PRODUTIVIDADES!$A:$A,0)-3)*tbAREAS[[#This Row],[ÁREA EM M²]]</f>
        <v>128.76240000000001</v>
      </c>
      <c r="L114" s="391"/>
    </row>
    <row r="115" spans="1:12" hidden="1" x14ac:dyDescent="0.25">
      <c r="A115" s="228" t="s">
        <v>2</v>
      </c>
      <c r="B115" s="234" t="s">
        <v>77</v>
      </c>
      <c r="C115" s="230" t="s">
        <v>158</v>
      </c>
      <c r="D115" s="230" t="s">
        <v>159</v>
      </c>
      <c r="E115" s="229" t="s">
        <v>14</v>
      </c>
      <c r="F115" s="231">
        <v>152.63</v>
      </c>
      <c r="G115" s="229" t="s">
        <v>1</v>
      </c>
      <c r="H115" s="405">
        <f ca="1">INDEX(PRODUTIVIDADES!$M:$M,MATCH(tbAREAS[[#This Row],[TIPO DE ÁREA]],PRODUTIVIDADES!$B:$B,0)+MATCH(tbAREAS[[#This Row],[LOCALIDADE]],PRODUTIVIDADES!$A:$A,0)-3)*tbAREAS[[#This Row],[ÁREA EM M²]]</f>
        <v>1297.355</v>
      </c>
      <c r="L115" s="391"/>
    </row>
    <row r="116" spans="1:12" hidden="1" x14ac:dyDescent="0.25">
      <c r="A116" s="228" t="s">
        <v>2</v>
      </c>
      <c r="B116" s="234" t="s">
        <v>77</v>
      </c>
      <c r="C116" s="230" t="s">
        <v>158</v>
      </c>
      <c r="D116" s="230" t="s">
        <v>159</v>
      </c>
      <c r="E116" s="229" t="s">
        <v>17</v>
      </c>
      <c r="F116" s="231">
        <v>81.53</v>
      </c>
      <c r="G116" s="229" t="s">
        <v>1</v>
      </c>
      <c r="H116" s="405">
        <f ca="1">INDEX(PRODUTIVIDADES!$M:$M,MATCH(tbAREAS[[#This Row],[TIPO DE ÁREA]],PRODUTIVIDADES!$B:$B,0)+MATCH(tbAREAS[[#This Row],[LOCALIDADE]],PRODUTIVIDADES!$A:$A,0)-3)*tbAREAS[[#This Row],[ÁREA EM M²]]</f>
        <v>190.78019999999998</v>
      </c>
      <c r="L116" s="391"/>
    </row>
    <row r="117" spans="1:12" hidden="1" x14ac:dyDescent="0.25">
      <c r="A117" s="228" t="s">
        <v>2</v>
      </c>
      <c r="B117" s="234" t="s">
        <v>77</v>
      </c>
      <c r="C117" s="230" t="s">
        <v>158</v>
      </c>
      <c r="D117" s="230" t="s">
        <v>159</v>
      </c>
      <c r="E117" s="229" t="s">
        <v>18</v>
      </c>
      <c r="F117" s="231">
        <v>9.91</v>
      </c>
      <c r="G117" s="229" t="s">
        <v>1</v>
      </c>
      <c r="H117" s="405">
        <f ca="1">INDEX(PRODUTIVIDADES!$M:$M,MATCH(tbAREAS[[#This Row],[TIPO DE ÁREA]],PRODUTIVIDADES!$B:$B,0)+MATCH(tbAREAS[[#This Row],[LOCALIDADE]],PRODUTIVIDADES!$A:$A,0)-3)*tbAREAS[[#This Row],[ÁREA EM M²]]</f>
        <v>449.41849999999999</v>
      </c>
      <c r="L117" s="391"/>
    </row>
    <row r="118" spans="1:12" hidden="1" x14ac:dyDescent="0.25">
      <c r="A118" s="228" t="s">
        <v>2</v>
      </c>
      <c r="B118" s="234" t="s">
        <v>77</v>
      </c>
      <c r="C118" s="230" t="s">
        <v>158</v>
      </c>
      <c r="D118" s="230" t="s">
        <v>159</v>
      </c>
      <c r="E118" s="229" t="s">
        <v>21</v>
      </c>
      <c r="F118" s="231">
        <v>116.22</v>
      </c>
      <c r="G118" s="229" t="s">
        <v>1</v>
      </c>
      <c r="H118" s="405">
        <f ca="1">INDEX(PRODUTIVIDADES!$M:$M,MATCH(tbAREAS[[#This Row],[TIPO DE ÁREA]],PRODUTIVIDADES!$B:$B,0)+MATCH(tbAREAS[[#This Row],[LOCALIDADE]],PRODUTIVIDADES!$A:$A,0)-3)*tbAREAS[[#This Row],[ÁREA EM M²]]</f>
        <v>19.757400000000001</v>
      </c>
      <c r="L118" s="391"/>
    </row>
    <row r="119" spans="1:12" hidden="1" x14ac:dyDescent="0.25">
      <c r="A119" s="228" t="s">
        <v>2</v>
      </c>
      <c r="B119" s="234" t="s">
        <v>77</v>
      </c>
      <c r="C119" s="230" t="s">
        <v>158</v>
      </c>
      <c r="D119" s="230" t="s">
        <v>159</v>
      </c>
      <c r="E119" s="229" t="s">
        <v>22</v>
      </c>
      <c r="F119" s="231">
        <v>116.22</v>
      </c>
      <c r="G119" s="229" t="s">
        <v>1</v>
      </c>
      <c r="H119" s="405">
        <f ca="1">INDEX(PRODUTIVIDADES!$M:$M,MATCH(tbAREAS[[#This Row],[TIPO DE ÁREA]],PRODUTIVIDADES!$B:$B,0)+MATCH(tbAREAS[[#This Row],[LOCALIDADE]],PRODUTIVIDADES!$A:$A,0)-3)*tbAREAS[[#This Row],[ÁREA EM M²]]</f>
        <v>46.488</v>
      </c>
      <c r="L119" s="391"/>
    </row>
    <row r="120" spans="1:12" hidden="1" x14ac:dyDescent="0.25">
      <c r="A120" s="228" t="s">
        <v>2</v>
      </c>
      <c r="B120" s="234" t="s">
        <v>77</v>
      </c>
      <c r="C120" s="230" t="s">
        <v>133</v>
      </c>
      <c r="D120" s="230"/>
      <c r="E120" s="229" t="s">
        <v>9</v>
      </c>
      <c r="F120" s="231">
        <v>343.22</v>
      </c>
      <c r="G120" s="229" t="s">
        <v>1</v>
      </c>
      <c r="H120" s="405">
        <f ca="1">INDEX(PRODUTIVIDADES!$M:$M,MATCH(tbAREAS[[#This Row],[TIPO DE ÁREA]],PRODUTIVIDADES!$B:$B,0)+MATCH(tbAREAS[[#This Row],[LOCALIDADE]],PRODUTIVIDADES!$A:$A,0)-3)*tbAREAS[[#This Row],[ÁREA EM M²]]</f>
        <v>2677.116</v>
      </c>
      <c r="L120" s="391"/>
    </row>
    <row r="121" spans="1:12" hidden="1" x14ac:dyDescent="0.25">
      <c r="A121" s="228" t="s">
        <v>2</v>
      </c>
      <c r="B121" s="234" t="s">
        <v>77</v>
      </c>
      <c r="C121" s="230" t="s">
        <v>133</v>
      </c>
      <c r="D121" s="230"/>
      <c r="E121" s="229" t="s">
        <v>10</v>
      </c>
      <c r="F121" s="231">
        <v>436.8</v>
      </c>
      <c r="G121" s="229" t="s">
        <v>1</v>
      </c>
      <c r="H121" s="405">
        <f ca="1">INDEX(PRODUTIVIDADES!$M:$M,MATCH(tbAREAS[[#This Row],[TIPO DE ÁREA]],PRODUTIVIDADES!$B:$B,0)+MATCH(tbAREAS[[#This Row],[LOCALIDADE]],PRODUTIVIDADES!$A:$A,0)-3)*tbAREAS[[#This Row],[ÁREA EM M²]]</f>
        <v>1362.816</v>
      </c>
      <c r="L121" s="391"/>
    </row>
    <row r="122" spans="1:12" hidden="1" x14ac:dyDescent="0.25">
      <c r="A122" s="228" t="s">
        <v>2</v>
      </c>
      <c r="B122" s="234" t="s">
        <v>77</v>
      </c>
      <c r="C122" s="230" t="s">
        <v>133</v>
      </c>
      <c r="D122" s="230"/>
      <c r="E122" s="229" t="s">
        <v>14</v>
      </c>
      <c r="F122" s="231">
        <v>635.53</v>
      </c>
      <c r="G122" s="229" t="s">
        <v>1</v>
      </c>
      <c r="H122" s="405">
        <f ca="1">INDEX(PRODUTIVIDADES!$M:$M,MATCH(tbAREAS[[#This Row],[TIPO DE ÁREA]],PRODUTIVIDADES!$B:$B,0)+MATCH(tbAREAS[[#This Row],[LOCALIDADE]],PRODUTIVIDADES!$A:$A,0)-3)*tbAREAS[[#This Row],[ÁREA EM M²]]</f>
        <v>5402.0050000000001</v>
      </c>
      <c r="L122" s="391"/>
    </row>
    <row r="123" spans="1:12" hidden="1" x14ac:dyDescent="0.25">
      <c r="A123" s="228" t="s">
        <v>2</v>
      </c>
      <c r="B123" s="234" t="s">
        <v>77</v>
      </c>
      <c r="C123" s="230" t="s">
        <v>133</v>
      </c>
      <c r="D123" s="230"/>
      <c r="E123" s="229" t="s">
        <v>17</v>
      </c>
      <c r="F123" s="231">
        <v>291.01</v>
      </c>
      <c r="G123" s="229" t="s">
        <v>1</v>
      </c>
      <c r="H123" s="405">
        <f ca="1">INDEX(PRODUTIVIDADES!$M:$M,MATCH(tbAREAS[[#This Row],[TIPO DE ÁREA]],PRODUTIVIDADES!$B:$B,0)+MATCH(tbAREAS[[#This Row],[LOCALIDADE]],PRODUTIVIDADES!$A:$A,0)-3)*tbAREAS[[#This Row],[ÁREA EM M²]]</f>
        <v>680.96339999999998</v>
      </c>
      <c r="L123" s="391"/>
    </row>
    <row r="124" spans="1:12" hidden="1" x14ac:dyDescent="0.25">
      <c r="A124" s="228" t="s">
        <v>2</v>
      </c>
      <c r="B124" s="234" t="s">
        <v>77</v>
      </c>
      <c r="C124" s="230" t="s">
        <v>133</v>
      </c>
      <c r="D124" s="230"/>
      <c r="E124" s="229" t="s">
        <v>18</v>
      </c>
      <c r="F124" s="231">
        <v>99.75</v>
      </c>
      <c r="G124" s="229" t="s">
        <v>1</v>
      </c>
      <c r="H124" s="405">
        <f ca="1">INDEX(PRODUTIVIDADES!$M:$M,MATCH(tbAREAS[[#This Row],[TIPO DE ÁREA]],PRODUTIVIDADES!$B:$B,0)+MATCH(tbAREAS[[#This Row],[LOCALIDADE]],PRODUTIVIDADES!$A:$A,0)-3)*tbAREAS[[#This Row],[ÁREA EM M²]]</f>
        <v>4523.6625000000004</v>
      </c>
      <c r="L124" s="391"/>
    </row>
    <row r="125" spans="1:12" hidden="1" x14ac:dyDescent="0.25">
      <c r="A125" s="228" t="s">
        <v>2</v>
      </c>
      <c r="B125" s="234" t="s">
        <v>77</v>
      </c>
      <c r="C125" s="230" t="s">
        <v>133</v>
      </c>
      <c r="D125" s="230"/>
      <c r="E125" s="229" t="s">
        <v>21</v>
      </c>
      <c r="F125" s="231">
        <v>601.94000000000005</v>
      </c>
      <c r="G125" s="229" t="s">
        <v>1</v>
      </c>
      <c r="H125" s="405">
        <f ca="1">INDEX(PRODUTIVIDADES!$M:$M,MATCH(tbAREAS[[#This Row],[TIPO DE ÁREA]],PRODUTIVIDADES!$B:$B,0)+MATCH(tbAREAS[[#This Row],[LOCALIDADE]],PRODUTIVIDADES!$A:$A,0)-3)*tbAREAS[[#This Row],[ÁREA EM M²]]</f>
        <v>102.32980000000002</v>
      </c>
      <c r="L125" s="391"/>
    </row>
    <row r="126" spans="1:12" hidden="1" x14ac:dyDescent="0.25">
      <c r="A126" s="228" t="s">
        <v>2</v>
      </c>
      <c r="B126" s="234" t="s">
        <v>77</v>
      </c>
      <c r="C126" s="230" t="s">
        <v>133</v>
      </c>
      <c r="D126" s="230"/>
      <c r="E126" s="229" t="s">
        <v>22</v>
      </c>
      <c r="F126" s="231">
        <v>601.94000000000005</v>
      </c>
      <c r="G126" s="229" t="s">
        <v>1</v>
      </c>
      <c r="H126" s="405">
        <f ca="1">INDEX(PRODUTIVIDADES!$M:$M,MATCH(tbAREAS[[#This Row],[TIPO DE ÁREA]],PRODUTIVIDADES!$B:$B,0)+MATCH(tbAREAS[[#This Row],[LOCALIDADE]],PRODUTIVIDADES!$A:$A,0)-3)*tbAREAS[[#This Row],[ÁREA EM M²]]</f>
        <v>240.77600000000004</v>
      </c>
      <c r="L126" s="391"/>
    </row>
    <row r="127" spans="1:12" hidden="1" x14ac:dyDescent="0.25">
      <c r="A127" s="228" t="s">
        <v>2</v>
      </c>
      <c r="B127" s="234" t="s">
        <v>77</v>
      </c>
      <c r="C127" s="230" t="s">
        <v>160</v>
      </c>
      <c r="D127" s="230" t="s">
        <v>161</v>
      </c>
      <c r="E127" s="229" t="s">
        <v>9</v>
      </c>
      <c r="F127" s="231">
        <v>1253.3900000000001</v>
      </c>
      <c r="G127" s="229" t="s">
        <v>1</v>
      </c>
      <c r="H127" s="405">
        <f ca="1">INDEX(PRODUTIVIDADES!$M:$M,MATCH(tbAREAS[[#This Row],[TIPO DE ÁREA]],PRODUTIVIDADES!$B:$B,0)+MATCH(tbAREAS[[#This Row],[LOCALIDADE]],PRODUTIVIDADES!$A:$A,0)-3)*tbAREAS[[#This Row],[ÁREA EM M²]]</f>
        <v>9776.4420000000009</v>
      </c>
      <c r="L127" s="391"/>
    </row>
    <row r="128" spans="1:12" hidden="1" x14ac:dyDescent="0.25">
      <c r="A128" s="228" t="s">
        <v>2</v>
      </c>
      <c r="B128" s="234" t="s">
        <v>77</v>
      </c>
      <c r="C128" s="230" t="s">
        <v>160</v>
      </c>
      <c r="D128" s="230" t="s">
        <v>161</v>
      </c>
      <c r="E128" s="229" t="s">
        <v>17</v>
      </c>
      <c r="F128" s="231">
        <v>478.74</v>
      </c>
      <c r="G128" s="229" t="s">
        <v>1</v>
      </c>
      <c r="H128" s="405">
        <f ca="1">INDEX(PRODUTIVIDADES!$M:$M,MATCH(tbAREAS[[#This Row],[TIPO DE ÁREA]],PRODUTIVIDADES!$B:$B,0)+MATCH(tbAREAS[[#This Row],[LOCALIDADE]],PRODUTIVIDADES!$A:$A,0)-3)*tbAREAS[[#This Row],[ÁREA EM M²]]</f>
        <v>1120.2516000000001</v>
      </c>
      <c r="L128" s="391"/>
    </row>
    <row r="129" spans="1:12" hidden="1" x14ac:dyDescent="0.25">
      <c r="A129" s="228" t="s">
        <v>2</v>
      </c>
      <c r="B129" s="234" t="s">
        <v>77</v>
      </c>
      <c r="C129" s="230" t="s">
        <v>160</v>
      </c>
      <c r="D129" s="230" t="s">
        <v>161</v>
      </c>
      <c r="E129" s="229" t="s">
        <v>18</v>
      </c>
      <c r="F129" s="231">
        <v>143.16</v>
      </c>
      <c r="G129" s="229" t="s">
        <v>1</v>
      </c>
      <c r="H129" s="405">
        <f ca="1">INDEX(PRODUTIVIDADES!$M:$M,MATCH(tbAREAS[[#This Row],[TIPO DE ÁREA]],PRODUTIVIDADES!$B:$B,0)+MATCH(tbAREAS[[#This Row],[LOCALIDADE]],PRODUTIVIDADES!$A:$A,0)-3)*tbAREAS[[#This Row],[ÁREA EM M²]]</f>
        <v>6492.3060000000005</v>
      </c>
      <c r="L129" s="391"/>
    </row>
    <row r="130" spans="1:12" hidden="1" x14ac:dyDescent="0.25">
      <c r="A130" s="228" t="s">
        <v>2</v>
      </c>
      <c r="B130" s="234" t="s">
        <v>77</v>
      </c>
      <c r="C130" s="230" t="s">
        <v>160</v>
      </c>
      <c r="D130" s="230" t="s">
        <v>161</v>
      </c>
      <c r="E130" s="229" t="s">
        <v>20</v>
      </c>
      <c r="F130" s="231">
        <v>50.69</v>
      </c>
      <c r="G130" s="229" t="s">
        <v>1</v>
      </c>
      <c r="H130" s="405">
        <f ca="1">INDEX(PRODUTIVIDADES!$M:$M,MATCH(tbAREAS[[#This Row],[TIPO DE ÁREA]],PRODUTIVIDADES!$B:$B,0)+MATCH(tbAREAS[[#This Row],[LOCALIDADE]],PRODUTIVIDADES!$A:$A,0)-3)*tbAREAS[[#This Row],[ÁREA EM M²]]</f>
        <v>39.538199999999996</v>
      </c>
      <c r="L130" s="391"/>
    </row>
    <row r="131" spans="1:12" hidden="1" x14ac:dyDescent="0.25">
      <c r="A131" s="228" t="s">
        <v>2</v>
      </c>
      <c r="B131" s="234" t="s">
        <v>77</v>
      </c>
      <c r="C131" s="230" t="s">
        <v>160</v>
      </c>
      <c r="D131" s="230" t="s">
        <v>161</v>
      </c>
      <c r="E131" s="229" t="s">
        <v>21</v>
      </c>
      <c r="F131" s="231">
        <v>247.92</v>
      </c>
      <c r="G131" s="229" t="s">
        <v>1</v>
      </c>
      <c r="H131" s="405">
        <f ca="1">INDEX(PRODUTIVIDADES!$M:$M,MATCH(tbAREAS[[#This Row],[TIPO DE ÁREA]],PRODUTIVIDADES!$B:$B,0)+MATCH(tbAREAS[[#This Row],[LOCALIDADE]],PRODUTIVIDADES!$A:$A,0)-3)*tbAREAS[[#This Row],[ÁREA EM M²]]</f>
        <v>42.1464</v>
      </c>
      <c r="L131" s="391"/>
    </row>
    <row r="132" spans="1:12" hidden="1" x14ac:dyDescent="0.25">
      <c r="A132" s="228" t="s">
        <v>2</v>
      </c>
      <c r="B132" s="234" t="s">
        <v>77</v>
      </c>
      <c r="C132" s="230" t="s">
        <v>160</v>
      </c>
      <c r="D132" s="230" t="s">
        <v>161</v>
      </c>
      <c r="E132" s="229" t="s">
        <v>22</v>
      </c>
      <c r="F132" s="231">
        <v>148.94</v>
      </c>
      <c r="G132" s="229" t="s">
        <v>1</v>
      </c>
      <c r="H132" s="405">
        <f ca="1">INDEX(PRODUTIVIDADES!$M:$M,MATCH(tbAREAS[[#This Row],[TIPO DE ÁREA]],PRODUTIVIDADES!$B:$B,0)+MATCH(tbAREAS[[#This Row],[LOCALIDADE]],PRODUTIVIDADES!$A:$A,0)-3)*tbAREAS[[#This Row],[ÁREA EM M²]]</f>
        <v>59.576000000000001</v>
      </c>
      <c r="L132" s="391"/>
    </row>
    <row r="133" spans="1:12" hidden="1" x14ac:dyDescent="0.25">
      <c r="A133" s="228" t="s">
        <v>2</v>
      </c>
      <c r="B133" s="234" t="s">
        <v>77</v>
      </c>
      <c r="C133" s="230" t="s">
        <v>162</v>
      </c>
      <c r="D133" s="230" t="s">
        <v>163</v>
      </c>
      <c r="E133" s="229" t="s">
        <v>9</v>
      </c>
      <c r="F133" s="231">
        <v>392.1</v>
      </c>
      <c r="G133" s="229" t="s">
        <v>1</v>
      </c>
      <c r="H133" s="405">
        <f ca="1">INDEX(PRODUTIVIDADES!$M:$M,MATCH(tbAREAS[[#This Row],[TIPO DE ÁREA]],PRODUTIVIDADES!$B:$B,0)+MATCH(tbAREAS[[#This Row],[LOCALIDADE]],PRODUTIVIDADES!$A:$A,0)-3)*tbAREAS[[#This Row],[ÁREA EM M²]]</f>
        <v>3058.38</v>
      </c>
      <c r="L133" s="391"/>
    </row>
    <row r="134" spans="1:12" hidden="1" x14ac:dyDescent="0.25">
      <c r="A134" s="228" t="s">
        <v>2</v>
      </c>
      <c r="B134" s="234" t="s">
        <v>77</v>
      </c>
      <c r="C134" s="230" t="s">
        <v>162</v>
      </c>
      <c r="D134" s="230" t="s">
        <v>163</v>
      </c>
      <c r="E134" s="229" t="s">
        <v>10</v>
      </c>
      <c r="F134" s="231">
        <v>1238.57</v>
      </c>
      <c r="G134" s="229" t="s">
        <v>1</v>
      </c>
      <c r="H134" s="405">
        <f ca="1">INDEX(PRODUTIVIDADES!$M:$M,MATCH(tbAREAS[[#This Row],[TIPO DE ÁREA]],PRODUTIVIDADES!$B:$B,0)+MATCH(tbAREAS[[#This Row],[LOCALIDADE]],PRODUTIVIDADES!$A:$A,0)-3)*tbAREAS[[#This Row],[ÁREA EM M²]]</f>
        <v>3864.3384000000001</v>
      </c>
      <c r="L134" s="391"/>
    </row>
    <row r="135" spans="1:12" hidden="1" x14ac:dyDescent="0.25">
      <c r="A135" s="228" t="s">
        <v>2</v>
      </c>
      <c r="B135" s="234" t="s">
        <v>77</v>
      </c>
      <c r="C135" s="230" t="s">
        <v>162</v>
      </c>
      <c r="D135" s="230" t="s">
        <v>163</v>
      </c>
      <c r="E135" s="229" t="s">
        <v>11</v>
      </c>
      <c r="F135" s="231">
        <v>356.54</v>
      </c>
      <c r="G135" s="229" t="s">
        <v>1</v>
      </c>
      <c r="H135" s="405">
        <f ca="1">INDEX(PRODUTIVIDADES!$M:$M,MATCH(tbAREAS[[#This Row],[TIPO DE ÁREA]],PRODUTIVIDADES!$B:$B,0)+MATCH(tbAREAS[[#This Row],[LOCALIDADE]],PRODUTIVIDADES!$A:$A,0)-3)*tbAREAS[[#This Row],[ÁREA EM M²]]</f>
        <v>1112.4048</v>
      </c>
      <c r="L135" s="391"/>
    </row>
    <row r="136" spans="1:12" hidden="1" x14ac:dyDescent="0.25">
      <c r="A136" s="228" t="s">
        <v>2</v>
      </c>
      <c r="B136" s="234" t="s">
        <v>77</v>
      </c>
      <c r="C136" s="230" t="s">
        <v>162</v>
      </c>
      <c r="D136" s="230" t="s">
        <v>163</v>
      </c>
      <c r="E136" s="229" t="s">
        <v>14</v>
      </c>
      <c r="F136" s="231">
        <v>3774.2</v>
      </c>
      <c r="G136" s="229" t="s">
        <v>1</v>
      </c>
      <c r="H136" s="405">
        <f ca="1">INDEX(PRODUTIVIDADES!$M:$M,MATCH(tbAREAS[[#This Row],[TIPO DE ÁREA]],PRODUTIVIDADES!$B:$B,0)+MATCH(tbAREAS[[#This Row],[LOCALIDADE]],PRODUTIVIDADES!$A:$A,0)-3)*tbAREAS[[#This Row],[ÁREA EM M²]]</f>
        <v>32080.699999999997</v>
      </c>
      <c r="L136" s="391"/>
    </row>
    <row r="137" spans="1:12" hidden="1" x14ac:dyDescent="0.25">
      <c r="A137" s="228" t="s">
        <v>2</v>
      </c>
      <c r="B137" s="234" t="s">
        <v>77</v>
      </c>
      <c r="C137" s="230" t="s">
        <v>162</v>
      </c>
      <c r="D137" s="230" t="s">
        <v>163</v>
      </c>
      <c r="E137" s="229" t="s">
        <v>15</v>
      </c>
      <c r="F137" s="231">
        <v>54.01</v>
      </c>
      <c r="G137" s="229" t="s">
        <v>1</v>
      </c>
      <c r="H137" s="405">
        <f ca="1">INDEX(PRODUTIVIDADES!$M:$M,MATCH(tbAREAS[[#This Row],[TIPO DE ÁREA]],PRODUTIVIDADES!$B:$B,0)+MATCH(tbAREAS[[#This Row],[LOCALIDADE]],PRODUTIVIDADES!$A:$A,0)-3)*tbAREAS[[#This Row],[ÁREA EM M²]]</f>
        <v>37.266899999999993</v>
      </c>
      <c r="L137" s="391"/>
    </row>
    <row r="138" spans="1:12" hidden="1" x14ac:dyDescent="0.25">
      <c r="A138" s="228" t="s">
        <v>2</v>
      </c>
      <c r="B138" s="234" t="s">
        <v>77</v>
      </c>
      <c r="C138" s="230" t="s">
        <v>162</v>
      </c>
      <c r="D138" s="230" t="s">
        <v>163</v>
      </c>
      <c r="E138" s="229" t="s">
        <v>17</v>
      </c>
      <c r="F138" s="231">
        <v>1168.8</v>
      </c>
      <c r="G138" s="229" t="s">
        <v>1</v>
      </c>
      <c r="H138" s="405">
        <f ca="1">INDEX(PRODUTIVIDADES!$M:$M,MATCH(tbAREAS[[#This Row],[TIPO DE ÁREA]],PRODUTIVIDADES!$B:$B,0)+MATCH(tbAREAS[[#This Row],[LOCALIDADE]],PRODUTIVIDADES!$A:$A,0)-3)*tbAREAS[[#This Row],[ÁREA EM M²]]</f>
        <v>2734.9919999999997</v>
      </c>
      <c r="L138" s="391"/>
    </row>
    <row r="139" spans="1:12" hidden="1" x14ac:dyDescent="0.25">
      <c r="A139" s="228" t="s">
        <v>2</v>
      </c>
      <c r="B139" s="234" t="s">
        <v>77</v>
      </c>
      <c r="C139" s="230" t="s">
        <v>162</v>
      </c>
      <c r="D139" s="230" t="s">
        <v>163</v>
      </c>
      <c r="E139" s="229" t="s">
        <v>18</v>
      </c>
      <c r="F139" s="231">
        <v>184.1</v>
      </c>
      <c r="G139" s="229" t="s">
        <v>1</v>
      </c>
      <c r="H139" s="405">
        <f ca="1">INDEX(PRODUTIVIDADES!$M:$M,MATCH(tbAREAS[[#This Row],[TIPO DE ÁREA]],PRODUTIVIDADES!$B:$B,0)+MATCH(tbAREAS[[#This Row],[LOCALIDADE]],PRODUTIVIDADES!$A:$A,0)-3)*tbAREAS[[#This Row],[ÁREA EM M²]]</f>
        <v>8348.9349999999995</v>
      </c>
      <c r="L139" s="391"/>
    </row>
    <row r="140" spans="1:12" hidden="1" x14ac:dyDescent="0.25">
      <c r="A140" s="228" t="s">
        <v>2</v>
      </c>
      <c r="B140" s="234" t="s">
        <v>77</v>
      </c>
      <c r="C140" s="230" t="s">
        <v>162</v>
      </c>
      <c r="D140" s="230" t="s">
        <v>163</v>
      </c>
      <c r="E140" s="229" t="s">
        <v>20</v>
      </c>
      <c r="F140" s="231">
        <v>121.66</v>
      </c>
      <c r="G140" s="229" t="s">
        <v>1</v>
      </c>
      <c r="H140" s="405">
        <f ca="1">INDEX(PRODUTIVIDADES!$M:$M,MATCH(tbAREAS[[#This Row],[TIPO DE ÁREA]],PRODUTIVIDADES!$B:$B,0)+MATCH(tbAREAS[[#This Row],[LOCALIDADE]],PRODUTIVIDADES!$A:$A,0)-3)*tbAREAS[[#This Row],[ÁREA EM M²]]</f>
        <v>94.894800000000004</v>
      </c>
      <c r="L140" s="391"/>
    </row>
    <row r="141" spans="1:12" hidden="1" x14ac:dyDescent="0.25">
      <c r="A141" s="228" t="s">
        <v>2</v>
      </c>
      <c r="B141" s="234" t="s">
        <v>77</v>
      </c>
      <c r="C141" s="230" t="s">
        <v>162</v>
      </c>
      <c r="D141" s="230" t="s">
        <v>163</v>
      </c>
      <c r="E141" s="229" t="s">
        <v>21</v>
      </c>
      <c r="F141" s="231">
        <v>1181.8499999999999</v>
      </c>
      <c r="G141" s="229" t="s">
        <v>1</v>
      </c>
      <c r="H141" s="405">
        <f ca="1">INDEX(PRODUTIVIDADES!$M:$M,MATCH(tbAREAS[[#This Row],[TIPO DE ÁREA]],PRODUTIVIDADES!$B:$B,0)+MATCH(tbAREAS[[#This Row],[LOCALIDADE]],PRODUTIVIDADES!$A:$A,0)-3)*tbAREAS[[#This Row],[ÁREA EM M²]]</f>
        <v>200.9145</v>
      </c>
      <c r="L141" s="391"/>
    </row>
    <row r="142" spans="1:12" hidden="1" x14ac:dyDescent="0.25">
      <c r="A142" s="228" t="s">
        <v>2</v>
      </c>
      <c r="B142" s="234" t="s">
        <v>77</v>
      </c>
      <c r="C142" s="230" t="s">
        <v>162</v>
      </c>
      <c r="D142" s="230" t="s">
        <v>163</v>
      </c>
      <c r="E142" s="229" t="s">
        <v>22</v>
      </c>
      <c r="F142" s="231">
        <v>1181.8499999999999</v>
      </c>
      <c r="G142" s="229" t="s">
        <v>1</v>
      </c>
      <c r="H142" s="405">
        <f ca="1">INDEX(PRODUTIVIDADES!$M:$M,MATCH(tbAREAS[[#This Row],[TIPO DE ÁREA]],PRODUTIVIDADES!$B:$B,0)+MATCH(tbAREAS[[#This Row],[LOCALIDADE]],PRODUTIVIDADES!$A:$A,0)-3)*tbAREAS[[#This Row],[ÁREA EM M²]]</f>
        <v>472.74</v>
      </c>
      <c r="L142" s="391"/>
    </row>
    <row r="143" spans="1:12" hidden="1" x14ac:dyDescent="0.25">
      <c r="A143" s="228" t="s">
        <v>2</v>
      </c>
      <c r="B143" s="234" t="s">
        <v>77</v>
      </c>
      <c r="C143" s="230" t="s">
        <v>164</v>
      </c>
      <c r="D143" s="230" t="s">
        <v>165</v>
      </c>
      <c r="E143" s="229" t="s">
        <v>9</v>
      </c>
      <c r="F143" s="231">
        <v>343.91</v>
      </c>
      <c r="G143" s="229" t="s">
        <v>1</v>
      </c>
      <c r="H143" s="405">
        <f ca="1">INDEX(PRODUTIVIDADES!$M:$M,MATCH(tbAREAS[[#This Row],[TIPO DE ÁREA]],PRODUTIVIDADES!$B:$B,0)+MATCH(tbAREAS[[#This Row],[LOCALIDADE]],PRODUTIVIDADES!$A:$A,0)-3)*tbAREAS[[#This Row],[ÁREA EM M²]]</f>
        <v>2682.498</v>
      </c>
      <c r="L143" s="391"/>
    </row>
    <row r="144" spans="1:12" hidden="1" x14ac:dyDescent="0.25">
      <c r="A144" s="228" t="s">
        <v>2</v>
      </c>
      <c r="B144" s="234" t="s">
        <v>77</v>
      </c>
      <c r="C144" s="230" t="s">
        <v>164</v>
      </c>
      <c r="D144" s="230" t="s">
        <v>165</v>
      </c>
      <c r="E144" s="229" t="s">
        <v>10</v>
      </c>
      <c r="F144" s="231">
        <v>731.7</v>
      </c>
      <c r="G144" s="229" t="s">
        <v>1</v>
      </c>
      <c r="H144" s="405">
        <f ca="1">INDEX(PRODUTIVIDADES!$M:$M,MATCH(tbAREAS[[#This Row],[TIPO DE ÁREA]],PRODUTIVIDADES!$B:$B,0)+MATCH(tbAREAS[[#This Row],[LOCALIDADE]],PRODUTIVIDADES!$A:$A,0)-3)*tbAREAS[[#This Row],[ÁREA EM M²]]</f>
        <v>2282.904</v>
      </c>
      <c r="L144" s="391"/>
    </row>
    <row r="145" spans="1:12" hidden="1" x14ac:dyDescent="0.25">
      <c r="A145" s="228" t="s">
        <v>2</v>
      </c>
      <c r="B145" s="234" t="s">
        <v>77</v>
      </c>
      <c r="C145" s="230" t="s">
        <v>164</v>
      </c>
      <c r="D145" s="230" t="s">
        <v>165</v>
      </c>
      <c r="E145" s="229" t="s">
        <v>11</v>
      </c>
      <c r="F145" s="231">
        <v>422.24</v>
      </c>
      <c r="G145" s="229" t="s">
        <v>1</v>
      </c>
      <c r="H145" s="405">
        <f ca="1">INDEX(PRODUTIVIDADES!$M:$M,MATCH(tbAREAS[[#This Row],[TIPO DE ÁREA]],PRODUTIVIDADES!$B:$B,0)+MATCH(tbAREAS[[#This Row],[LOCALIDADE]],PRODUTIVIDADES!$A:$A,0)-3)*tbAREAS[[#This Row],[ÁREA EM M²]]</f>
        <v>1317.3888000000002</v>
      </c>
      <c r="L145" s="391"/>
    </row>
    <row r="146" spans="1:12" hidden="1" x14ac:dyDescent="0.25">
      <c r="A146" s="228" t="s">
        <v>2</v>
      </c>
      <c r="B146" s="234" t="s">
        <v>77</v>
      </c>
      <c r="C146" s="230" t="s">
        <v>164</v>
      </c>
      <c r="D146" s="230" t="s">
        <v>165</v>
      </c>
      <c r="E146" s="229" t="s">
        <v>14</v>
      </c>
      <c r="F146" s="231">
        <v>2237.48</v>
      </c>
      <c r="G146" s="229" t="s">
        <v>1</v>
      </c>
      <c r="H146" s="405">
        <f ca="1">INDEX(PRODUTIVIDADES!$M:$M,MATCH(tbAREAS[[#This Row],[TIPO DE ÁREA]],PRODUTIVIDADES!$B:$B,0)+MATCH(tbAREAS[[#This Row],[LOCALIDADE]],PRODUTIVIDADES!$A:$A,0)-3)*tbAREAS[[#This Row],[ÁREA EM M²]]</f>
        <v>19018.580000000002</v>
      </c>
      <c r="L146" s="391"/>
    </row>
    <row r="147" spans="1:12" hidden="1" x14ac:dyDescent="0.25">
      <c r="A147" s="228" t="s">
        <v>2</v>
      </c>
      <c r="B147" s="234" t="s">
        <v>77</v>
      </c>
      <c r="C147" s="230" t="s">
        <v>164</v>
      </c>
      <c r="D147" s="230" t="s">
        <v>165</v>
      </c>
      <c r="E147" s="229" t="s">
        <v>15</v>
      </c>
      <c r="F147" s="231">
        <v>89.13</v>
      </c>
      <c r="G147" s="229" t="s">
        <v>1</v>
      </c>
      <c r="H147" s="405">
        <f ca="1">INDEX(PRODUTIVIDADES!$M:$M,MATCH(tbAREAS[[#This Row],[TIPO DE ÁREA]],PRODUTIVIDADES!$B:$B,0)+MATCH(tbAREAS[[#This Row],[LOCALIDADE]],PRODUTIVIDADES!$A:$A,0)-3)*tbAREAS[[#This Row],[ÁREA EM M²]]</f>
        <v>61.49969999999999</v>
      </c>
      <c r="L147" s="391"/>
    </row>
    <row r="148" spans="1:12" hidden="1" x14ac:dyDescent="0.25">
      <c r="A148" s="228" t="s">
        <v>2</v>
      </c>
      <c r="B148" s="234" t="s">
        <v>77</v>
      </c>
      <c r="C148" s="230" t="s">
        <v>164</v>
      </c>
      <c r="D148" s="230" t="s">
        <v>165</v>
      </c>
      <c r="E148" s="229" t="s">
        <v>17</v>
      </c>
      <c r="F148" s="231">
        <v>1154.18</v>
      </c>
      <c r="G148" s="229" t="s">
        <v>1</v>
      </c>
      <c r="H148" s="405">
        <f ca="1">INDEX(PRODUTIVIDADES!$M:$M,MATCH(tbAREAS[[#This Row],[TIPO DE ÁREA]],PRODUTIVIDADES!$B:$B,0)+MATCH(tbAREAS[[#This Row],[LOCALIDADE]],PRODUTIVIDADES!$A:$A,0)-3)*tbAREAS[[#This Row],[ÁREA EM M²]]</f>
        <v>2700.7811999999999</v>
      </c>
      <c r="L148" s="391"/>
    </row>
    <row r="149" spans="1:12" hidden="1" x14ac:dyDescent="0.25">
      <c r="A149" s="228" t="s">
        <v>2</v>
      </c>
      <c r="B149" s="234" t="s">
        <v>77</v>
      </c>
      <c r="C149" s="230" t="s">
        <v>164</v>
      </c>
      <c r="D149" s="230" t="s">
        <v>165</v>
      </c>
      <c r="E149" s="229" t="s">
        <v>18</v>
      </c>
      <c r="F149" s="231">
        <v>206.5</v>
      </c>
      <c r="G149" s="229" t="s">
        <v>1</v>
      </c>
      <c r="H149" s="405">
        <f ca="1">INDEX(PRODUTIVIDADES!$M:$M,MATCH(tbAREAS[[#This Row],[TIPO DE ÁREA]],PRODUTIVIDADES!$B:$B,0)+MATCH(tbAREAS[[#This Row],[LOCALIDADE]],PRODUTIVIDADES!$A:$A,0)-3)*tbAREAS[[#This Row],[ÁREA EM M²]]</f>
        <v>9364.7749999999996</v>
      </c>
      <c r="L149" s="391"/>
    </row>
    <row r="150" spans="1:12" hidden="1" x14ac:dyDescent="0.25">
      <c r="A150" s="228" t="s">
        <v>2</v>
      </c>
      <c r="B150" s="234" t="s">
        <v>77</v>
      </c>
      <c r="C150" s="230" t="s">
        <v>164</v>
      </c>
      <c r="D150" s="230" t="s">
        <v>165</v>
      </c>
      <c r="E150" s="229" t="s">
        <v>20</v>
      </c>
      <c r="F150" s="231">
        <v>127.2</v>
      </c>
      <c r="G150" s="229" t="s">
        <v>1</v>
      </c>
      <c r="H150" s="405">
        <f ca="1">INDEX(PRODUTIVIDADES!$M:$M,MATCH(tbAREAS[[#This Row],[TIPO DE ÁREA]],PRODUTIVIDADES!$B:$B,0)+MATCH(tbAREAS[[#This Row],[LOCALIDADE]],PRODUTIVIDADES!$A:$A,0)-3)*tbAREAS[[#This Row],[ÁREA EM M²]]</f>
        <v>99.216000000000008</v>
      </c>
      <c r="L150" s="391"/>
    </row>
    <row r="151" spans="1:12" hidden="1" x14ac:dyDescent="0.25">
      <c r="A151" s="228" t="s">
        <v>2</v>
      </c>
      <c r="B151" s="234" t="s">
        <v>77</v>
      </c>
      <c r="C151" s="230" t="s">
        <v>164</v>
      </c>
      <c r="D151" s="230" t="s">
        <v>165</v>
      </c>
      <c r="E151" s="229" t="s">
        <v>21</v>
      </c>
      <c r="F151" s="231">
        <v>1241.83</v>
      </c>
      <c r="G151" s="229" t="s">
        <v>1</v>
      </c>
      <c r="H151" s="405">
        <f ca="1">INDEX(PRODUTIVIDADES!$M:$M,MATCH(tbAREAS[[#This Row],[TIPO DE ÁREA]],PRODUTIVIDADES!$B:$B,0)+MATCH(tbAREAS[[#This Row],[LOCALIDADE]],PRODUTIVIDADES!$A:$A,0)-3)*tbAREAS[[#This Row],[ÁREA EM M²]]</f>
        <v>211.11109999999999</v>
      </c>
      <c r="L151" s="391"/>
    </row>
    <row r="152" spans="1:12" hidden="1" x14ac:dyDescent="0.25">
      <c r="A152" s="228" t="s">
        <v>2</v>
      </c>
      <c r="B152" s="234" t="s">
        <v>77</v>
      </c>
      <c r="C152" s="230" t="s">
        <v>164</v>
      </c>
      <c r="D152" s="230" t="s">
        <v>165</v>
      </c>
      <c r="E152" s="229" t="s">
        <v>22</v>
      </c>
      <c r="F152" s="231">
        <v>1241.83</v>
      </c>
      <c r="G152" s="229" t="s">
        <v>1</v>
      </c>
      <c r="H152" s="405">
        <f ca="1">INDEX(PRODUTIVIDADES!$M:$M,MATCH(tbAREAS[[#This Row],[TIPO DE ÁREA]],PRODUTIVIDADES!$B:$B,0)+MATCH(tbAREAS[[#This Row],[LOCALIDADE]],PRODUTIVIDADES!$A:$A,0)-3)*tbAREAS[[#This Row],[ÁREA EM M²]]</f>
        <v>496.73199999999997</v>
      </c>
      <c r="L152" s="391"/>
    </row>
    <row r="153" spans="1:12" hidden="1" x14ac:dyDescent="0.25">
      <c r="A153" s="228" t="s">
        <v>2</v>
      </c>
      <c r="B153" s="234" t="s">
        <v>77</v>
      </c>
      <c r="C153" s="230" t="s">
        <v>70</v>
      </c>
      <c r="D153" s="230" t="s">
        <v>166</v>
      </c>
      <c r="E153" s="229" t="s">
        <v>10</v>
      </c>
      <c r="F153" s="231">
        <v>25.209999999999997</v>
      </c>
      <c r="G153" s="229" t="s">
        <v>1</v>
      </c>
      <c r="H153" s="405">
        <f ca="1">INDEX(PRODUTIVIDADES!$M:$M,MATCH(tbAREAS[[#This Row],[TIPO DE ÁREA]],PRODUTIVIDADES!$B:$B,0)+MATCH(tbAREAS[[#This Row],[LOCALIDADE]],PRODUTIVIDADES!$A:$A,0)-3)*tbAREAS[[#This Row],[ÁREA EM M²]]</f>
        <v>78.655199999999994</v>
      </c>
      <c r="L153" s="391"/>
    </row>
    <row r="154" spans="1:12" hidden="1" x14ac:dyDescent="0.25">
      <c r="A154" s="228" t="s">
        <v>2</v>
      </c>
      <c r="B154" s="234" t="s">
        <v>77</v>
      </c>
      <c r="C154" s="230" t="s">
        <v>70</v>
      </c>
      <c r="D154" s="230" t="s">
        <v>166</v>
      </c>
      <c r="E154" s="229" t="s">
        <v>14</v>
      </c>
      <c r="F154" s="231">
        <v>203.72</v>
      </c>
      <c r="G154" s="229" t="s">
        <v>1</v>
      </c>
      <c r="H154" s="405">
        <f ca="1">INDEX(PRODUTIVIDADES!$M:$M,MATCH(tbAREAS[[#This Row],[TIPO DE ÁREA]],PRODUTIVIDADES!$B:$B,0)+MATCH(tbAREAS[[#This Row],[LOCALIDADE]],PRODUTIVIDADES!$A:$A,0)-3)*tbAREAS[[#This Row],[ÁREA EM M²]]</f>
        <v>1731.62</v>
      </c>
      <c r="L154" s="391"/>
    </row>
    <row r="155" spans="1:12" hidden="1" x14ac:dyDescent="0.25">
      <c r="A155" s="228" t="s">
        <v>2</v>
      </c>
      <c r="B155" s="234" t="s">
        <v>77</v>
      </c>
      <c r="C155" s="230" t="s">
        <v>70</v>
      </c>
      <c r="D155" s="230" t="s">
        <v>166</v>
      </c>
      <c r="E155" s="229" t="s">
        <v>17</v>
      </c>
      <c r="F155" s="231">
        <v>321.44</v>
      </c>
      <c r="G155" s="229" t="s">
        <v>1</v>
      </c>
      <c r="H155" s="405">
        <f ca="1">INDEX(PRODUTIVIDADES!$M:$M,MATCH(tbAREAS[[#This Row],[TIPO DE ÁREA]],PRODUTIVIDADES!$B:$B,0)+MATCH(tbAREAS[[#This Row],[LOCALIDADE]],PRODUTIVIDADES!$A:$A,0)-3)*tbAREAS[[#This Row],[ÁREA EM M²]]</f>
        <v>752.16959999999995</v>
      </c>
      <c r="L155" s="391"/>
    </row>
    <row r="156" spans="1:12" hidden="1" x14ac:dyDescent="0.25">
      <c r="A156" s="228" t="s">
        <v>2</v>
      </c>
      <c r="B156" s="234" t="s">
        <v>77</v>
      </c>
      <c r="C156" s="230" t="s">
        <v>70</v>
      </c>
      <c r="D156" s="230" t="s">
        <v>166</v>
      </c>
      <c r="E156" s="229" t="s">
        <v>18</v>
      </c>
      <c r="F156" s="231">
        <v>25.74</v>
      </c>
      <c r="G156" s="229" t="s">
        <v>1</v>
      </c>
      <c r="H156" s="405">
        <f ca="1">INDEX(PRODUTIVIDADES!$M:$M,MATCH(tbAREAS[[#This Row],[TIPO DE ÁREA]],PRODUTIVIDADES!$B:$B,0)+MATCH(tbAREAS[[#This Row],[LOCALIDADE]],PRODUTIVIDADES!$A:$A,0)-3)*tbAREAS[[#This Row],[ÁREA EM M²]]</f>
        <v>1167.309</v>
      </c>
      <c r="L156" s="391"/>
    </row>
    <row r="157" spans="1:12" hidden="1" x14ac:dyDescent="0.25">
      <c r="A157" s="228" t="s">
        <v>2</v>
      </c>
      <c r="B157" s="234" t="s">
        <v>77</v>
      </c>
      <c r="C157" s="230" t="s">
        <v>167</v>
      </c>
      <c r="D157" s="230" t="s">
        <v>168</v>
      </c>
      <c r="E157" s="229" t="s">
        <v>9</v>
      </c>
      <c r="F157" s="231">
        <v>54</v>
      </c>
      <c r="G157" s="229" t="s">
        <v>1</v>
      </c>
      <c r="H157" s="405">
        <f ca="1">INDEX(PRODUTIVIDADES!$M:$M,MATCH(tbAREAS[[#This Row],[TIPO DE ÁREA]],PRODUTIVIDADES!$B:$B,0)+MATCH(tbAREAS[[#This Row],[LOCALIDADE]],PRODUTIVIDADES!$A:$A,0)-3)*tbAREAS[[#This Row],[ÁREA EM M²]]</f>
        <v>421.2</v>
      </c>
      <c r="L157" s="391"/>
    </row>
    <row r="158" spans="1:12" hidden="1" x14ac:dyDescent="0.25">
      <c r="A158" s="228" t="s">
        <v>2</v>
      </c>
      <c r="B158" s="234" t="s">
        <v>77</v>
      </c>
      <c r="C158" s="230" t="s">
        <v>167</v>
      </c>
      <c r="D158" s="230" t="s">
        <v>168</v>
      </c>
      <c r="E158" s="229" t="s">
        <v>10</v>
      </c>
      <c r="F158" s="231">
        <v>107.24</v>
      </c>
      <c r="G158" s="229" t="s">
        <v>1</v>
      </c>
      <c r="H158" s="405">
        <f ca="1">INDEX(PRODUTIVIDADES!$M:$M,MATCH(tbAREAS[[#This Row],[TIPO DE ÁREA]],PRODUTIVIDADES!$B:$B,0)+MATCH(tbAREAS[[#This Row],[LOCALIDADE]],PRODUTIVIDADES!$A:$A,0)-3)*tbAREAS[[#This Row],[ÁREA EM M²]]</f>
        <v>334.58879999999999</v>
      </c>
      <c r="L158" s="391"/>
    </row>
    <row r="159" spans="1:12" hidden="1" x14ac:dyDescent="0.25">
      <c r="A159" s="228" t="s">
        <v>2</v>
      </c>
      <c r="B159" s="234" t="s">
        <v>77</v>
      </c>
      <c r="C159" s="230" t="s">
        <v>167</v>
      </c>
      <c r="D159" s="230" t="s">
        <v>168</v>
      </c>
      <c r="E159" s="229" t="s">
        <v>14</v>
      </c>
      <c r="F159" s="231">
        <v>351.47</v>
      </c>
      <c r="G159" s="229" t="s">
        <v>1</v>
      </c>
      <c r="H159" s="405">
        <f ca="1">INDEX(PRODUTIVIDADES!$M:$M,MATCH(tbAREAS[[#This Row],[TIPO DE ÁREA]],PRODUTIVIDADES!$B:$B,0)+MATCH(tbAREAS[[#This Row],[LOCALIDADE]],PRODUTIVIDADES!$A:$A,0)-3)*tbAREAS[[#This Row],[ÁREA EM M²]]</f>
        <v>2987.4950000000003</v>
      </c>
      <c r="L159" s="391"/>
    </row>
    <row r="160" spans="1:12" hidden="1" x14ac:dyDescent="0.25">
      <c r="A160" s="228" t="s">
        <v>2</v>
      </c>
      <c r="B160" s="234" t="s">
        <v>77</v>
      </c>
      <c r="C160" s="230" t="s">
        <v>167</v>
      </c>
      <c r="D160" s="230" t="s">
        <v>168</v>
      </c>
      <c r="E160" s="229" t="s">
        <v>17</v>
      </c>
      <c r="F160" s="231">
        <v>136.33000000000001</v>
      </c>
      <c r="G160" s="229" t="s">
        <v>1</v>
      </c>
      <c r="H160" s="405">
        <f ca="1">INDEX(PRODUTIVIDADES!$M:$M,MATCH(tbAREAS[[#This Row],[TIPO DE ÁREA]],PRODUTIVIDADES!$B:$B,0)+MATCH(tbAREAS[[#This Row],[LOCALIDADE]],PRODUTIVIDADES!$A:$A,0)-3)*tbAREAS[[#This Row],[ÁREA EM M²]]</f>
        <v>319.01220000000001</v>
      </c>
      <c r="L160" s="391"/>
    </row>
    <row r="161" spans="1:12" hidden="1" x14ac:dyDescent="0.25">
      <c r="A161" s="228" t="s">
        <v>2</v>
      </c>
      <c r="B161" s="234" t="s">
        <v>77</v>
      </c>
      <c r="C161" s="230" t="s">
        <v>167</v>
      </c>
      <c r="D161" s="230" t="s">
        <v>168</v>
      </c>
      <c r="E161" s="229" t="s">
        <v>18</v>
      </c>
      <c r="F161" s="231">
        <v>35.9</v>
      </c>
      <c r="G161" s="229" t="s">
        <v>1</v>
      </c>
      <c r="H161" s="405">
        <f ca="1">INDEX(PRODUTIVIDADES!$M:$M,MATCH(tbAREAS[[#This Row],[TIPO DE ÁREA]],PRODUTIVIDADES!$B:$B,0)+MATCH(tbAREAS[[#This Row],[LOCALIDADE]],PRODUTIVIDADES!$A:$A,0)-3)*tbAREAS[[#This Row],[ÁREA EM M²]]</f>
        <v>1628.0650000000001</v>
      </c>
      <c r="L161" s="391"/>
    </row>
    <row r="162" spans="1:12" hidden="1" x14ac:dyDescent="0.25">
      <c r="A162" s="228" t="s">
        <v>2</v>
      </c>
      <c r="B162" s="234" t="s">
        <v>77</v>
      </c>
      <c r="C162" s="230" t="s">
        <v>169</v>
      </c>
      <c r="D162" s="230" t="s">
        <v>170</v>
      </c>
      <c r="E162" s="229" t="s">
        <v>10</v>
      </c>
      <c r="F162" s="231">
        <v>159.22</v>
      </c>
      <c r="G162" s="229" t="s">
        <v>1</v>
      </c>
      <c r="H162" s="405">
        <f ca="1">INDEX(PRODUTIVIDADES!$M:$M,MATCH(tbAREAS[[#This Row],[TIPO DE ÁREA]],PRODUTIVIDADES!$B:$B,0)+MATCH(tbAREAS[[#This Row],[LOCALIDADE]],PRODUTIVIDADES!$A:$A,0)-3)*tbAREAS[[#This Row],[ÁREA EM M²]]</f>
        <v>496.76640000000003</v>
      </c>
      <c r="L162" s="391"/>
    </row>
    <row r="163" spans="1:12" hidden="1" x14ac:dyDescent="0.25">
      <c r="A163" s="228" t="s">
        <v>2</v>
      </c>
      <c r="B163" s="234" t="s">
        <v>77</v>
      </c>
      <c r="C163" s="230" t="s">
        <v>169</v>
      </c>
      <c r="D163" s="230" t="s">
        <v>170</v>
      </c>
      <c r="E163" s="229" t="s">
        <v>11</v>
      </c>
      <c r="F163" s="231">
        <v>81</v>
      </c>
      <c r="G163" s="229" t="s">
        <v>1</v>
      </c>
      <c r="H163" s="405">
        <f ca="1">INDEX(PRODUTIVIDADES!$M:$M,MATCH(tbAREAS[[#This Row],[TIPO DE ÁREA]],PRODUTIVIDADES!$B:$B,0)+MATCH(tbAREAS[[#This Row],[LOCALIDADE]],PRODUTIVIDADES!$A:$A,0)-3)*tbAREAS[[#This Row],[ÁREA EM M²]]</f>
        <v>252.72</v>
      </c>
      <c r="L163" s="391"/>
    </row>
    <row r="164" spans="1:12" hidden="1" x14ac:dyDescent="0.25">
      <c r="A164" s="228" t="s">
        <v>2</v>
      </c>
      <c r="B164" s="234" t="s">
        <v>77</v>
      </c>
      <c r="C164" s="230" t="s">
        <v>169</v>
      </c>
      <c r="D164" s="230" t="s">
        <v>170</v>
      </c>
      <c r="E164" s="229" t="s">
        <v>14</v>
      </c>
      <c r="F164" s="231">
        <v>211.44</v>
      </c>
      <c r="G164" s="229" t="s">
        <v>1</v>
      </c>
      <c r="H164" s="405">
        <f ca="1">INDEX(PRODUTIVIDADES!$M:$M,MATCH(tbAREAS[[#This Row],[TIPO DE ÁREA]],PRODUTIVIDADES!$B:$B,0)+MATCH(tbAREAS[[#This Row],[LOCALIDADE]],PRODUTIVIDADES!$A:$A,0)-3)*tbAREAS[[#This Row],[ÁREA EM M²]]</f>
        <v>1797.24</v>
      </c>
      <c r="L164" s="391"/>
    </row>
    <row r="165" spans="1:12" hidden="1" x14ac:dyDescent="0.25">
      <c r="A165" s="228" t="s">
        <v>2</v>
      </c>
      <c r="B165" s="234" t="s">
        <v>77</v>
      </c>
      <c r="C165" s="230" t="s">
        <v>169</v>
      </c>
      <c r="D165" s="230" t="s">
        <v>170</v>
      </c>
      <c r="E165" s="229" t="s">
        <v>15</v>
      </c>
      <c r="F165" s="231">
        <v>28.12</v>
      </c>
      <c r="G165" s="229" t="s">
        <v>1</v>
      </c>
      <c r="H165" s="405">
        <f ca="1">INDEX(PRODUTIVIDADES!$M:$M,MATCH(tbAREAS[[#This Row],[TIPO DE ÁREA]],PRODUTIVIDADES!$B:$B,0)+MATCH(tbAREAS[[#This Row],[LOCALIDADE]],PRODUTIVIDADES!$A:$A,0)-3)*tbAREAS[[#This Row],[ÁREA EM M²]]</f>
        <v>19.402799999999999</v>
      </c>
      <c r="L165" s="391"/>
    </row>
    <row r="166" spans="1:12" hidden="1" x14ac:dyDescent="0.25">
      <c r="A166" s="228" t="s">
        <v>2</v>
      </c>
      <c r="B166" s="234" t="s">
        <v>77</v>
      </c>
      <c r="C166" s="230" t="s">
        <v>169</v>
      </c>
      <c r="D166" s="230" t="s">
        <v>170</v>
      </c>
      <c r="E166" s="229" t="s">
        <v>17</v>
      </c>
      <c r="F166" s="231">
        <v>231.25</v>
      </c>
      <c r="G166" s="229" t="s">
        <v>1</v>
      </c>
      <c r="H166" s="405">
        <f ca="1">INDEX(PRODUTIVIDADES!$M:$M,MATCH(tbAREAS[[#This Row],[TIPO DE ÁREA]],PRODUTIVIDADES!$B:$B,0)+MATCH(tbAREAS[[#This Row],[LOCALIDADE]],PRODUTIVIDADES!$A:$A,0)-3)*tbAREAS[[#This Row],[ÁREA EM M²]]</f>
        <v>541.125</v>
      </c>
      <c r="L166" s="391"/>
    </row>
    <row r="167" spans="1:12" hidden="1" x14ac:dyDescent="0.25">
      <c r="A167" s="228" t="s">
        <v>2</v>
      </c>
      <c r="B167" s="234" t="s">
        <v>77</v>
      </c>
      <c r="C167" s="230" t="s">
        <v>169</v>
      </c>
      <c r="D167" s="230" t="s">
        <v>170</v>
      </c>
      <c r="E167" s="229" t="s">
        <v>18</v>
      </c>
      <c r="F167" s="231">
        <v>72.599999999999994</v>
      </c>
      <c r="G167" s="229" t="s">
        <v>1</v>
      </c>
      <c r="H167" s="405">
        <f ca="1">INDEX(PRODUTIVIDADES!$M:$M,MATCH(tbAREAS[[#This Row],[TIPO DE ÁREA]],PRODUTIVIDADES!$B:$B,0)+MATCH(tbAREAS[[#This Row],[LOCALIDADE]],PRODUTIVIDADES!$A:$A,0)-3)*tbAREAS[[#This Row],[ÁREA EM M²]]</f>
        <v>3292.41</v>
      </c>
      <c r="L167" s="391"/>
    </row>
    <row r="168" spans="1:12" hidden="1" x14ac:dyDescent="0.25">
      <c r="A168" s="228" t="s">
        <v>2</v>
      </c>
      <c r="B168" s="234" t="s">
        <v>77</v>
      </c>
      <c r="C168" s="230" t="s">
        <v>169</v>
      </c>
      <c r="D168" s="230" t="s">
        <v>170</v>
      </c>
      <c r="E168" s="229" t="s">
        <v>21</v>
      </c>
      <c r="F168" s="231">
        <v>122.05</v>
      </c>
      <c r="G168" s="229" t="s">
        <v>1</v>
      </c>
      <c r="H168" s="405">
        <f ca="1">INDEX(PRODUTIVIDADES!$M:$M,MATCH(tbAREAS[[#This Row],[TIPO DE ÁREA]],PRODUTIVIDADES!$B:$B,0)+MATCH(tbAREAS[[#This Row],[LOCALIDADE]],PRODUTIVIDADES!$A:$A,0)-3)*tbAREAS[[#This Row],[ÁREA EM M²]]</f>
        <v>20.7485</v>
      </c>
      <c r="L168" s="391"/>
    </row>
    <row r="169" spans="1:12" hidden="1" x14ac:dyDescent="0.25">
      <c r="A169" s="228" t="s">
        <v>2</v>
      </c>
      <c r="B169" s="234" t="s">
        <v>77</v>
      </c>
      <c r="C169" s="230" t="s">
        <v>169</v>
      </c>
      <c r="D169" s="230" t="s">
        <v>170</v>
      </c>
      <c r="E169" s="229" t="s">
        <v>22</v>
      </c>
      <c r="F169" s="231">
        <v>122.05</v>
      </c>
      <c r="G169" s="229" t="s">
        <v>1</v>
      </c>
      <c r="H169" s="405">
        <f ca="1">INDEX(PRODUTIVIDADES!$M:$M,MATCH(tbAREAS[[#This Row],[TIPO DE ÁREA]],PRODUTIVIDADES!$B:$B,0)+MATCH(tbAREAS[[#This Row],[LOCALIDADE]],PRODUTIVIDADES!$A:$A,0)-3)*tbAREAS[[#This Row],[ÁREA EM M²]]</f>
        <v>48.82</v>
      </c>
      <c r="L169" s="391"/>
    </row>
    <row r="170" spans="1:12" hidden="1" x14ac:dyDescent="0.25">
      <c r="A170" s="228" t="s">
        <v>2</v>
      </c>
      <c r="B170" s="263" t="s">
        <v>83</v>
      </c>
      <c r="C170" s="230" t="s">
        <v>171</v>
      </c>
      <c r="D170" s="230" t="s">
        <v>172</v>
      </c>
      <c r="E170" s="229" t="s">
        <v>9</v>
      </c>
      <c r="F170" s="231">
        <v>424.8</v>
      </c>
      <c r="G170" s="229" t="s">
        <v>1</v>
      </c>
      <c r="H170" s="405">
        <f ca="1">INDEX(PRODUTIVIDADES!$M:$M,MATCH(tbAREAS[[#This Row],[TIPO DE ÁREA]],PRODUTIVIDADES!$B:$B,0)+MATCH(tbAREAS[[#This Row],[LOCALIDADE]],PRODUTIVIDADES!$A:$A,0)-3)*tbAREAS[[#This Row],[ÁREA EM M²]]</f>
        <v>3313.44</v>
      </c>
      <c r="L170" s="391"/>
    </row>
    <row r="171" spans="1:12" hidden="1" x14ac:dyDescent="0.25">
      <c r="A171" s="228" t="s">
        <v>2</v>
      </c>
      <c r="B171" s="263" t="s">
        <v>83</v>
      </c>
      <c r="C171" s="230" t="s">
        <v>171</v>
      </c>
      <c r="D171" s="230" t="s">
        <v>172</v>
      </c>
      <c r="E171" s="229" t="s">
        <v>10</v>
      </c>
      <c r="F171" s="231">
        <v>2292.0300000000002</v>
      </c>
      <c r="G171" s="229" t="s">
        <v>1</v>
      </c>
      <c r="H171" s="405">
        <f ca="1">INDEX(PRODUTIVIDADES!$M:$M,MATCH(tbAREAS[[#This Row],[TIPO DE ÁREA]],PRODUTIVIDADES!$B:$B,0)+MATCH(tbAREAS[[#This Row],[LOCALIDADE]],PRODUTIVIDADES!$A:$A,0)-3)*tbAREAS[[#This Row],[ÁREA EM M²]]</f>
        <v>7151.133600000001</v>
      </c>
      <c r="L171" s="391"/>
    </row>
    <row r="172" spans="1:12" hidden="1" x14ac:dyDescent="0.25">
      <c r="A172" s="228" t="s">
        <v>2</v>
      </c>
      <c r="B172" s="263" t="s">
        <v>83</v>
      </c>
      <c r="C172" s="230" t="s">
        <v>171</v>
      </c>
      <c r="D172" s="230" t="s">
        <v>172</v>
      </c>
      <c r="E172" s="229" t="s">
        <v>13</v>
      </c>
      <c r="F172" s="231">
        <v>468.74</v>
      </c>
      <c r="G172" s="229" t="s">
        <v>1</v>
      </c>
      <c r="H172" s="405">
        <f ca="1">INDEX(PRODUTIVIDADES!$M:$M,MATCH(tbAREAS[[#This Row],[TIPO DE ÁREA]],PRODUTIVIDADES!$B:$B,0)+MATCH(tbAREAS[[#This Row],[LOCALIDADE]],PRODUTIVIDADES!$A:$A,0)-3)*tbAREAS[[#This Row],[ÁREA EM M²]]</f>
        <v>1462.4688000000001</v>
      </c>
      <c r="L172" s="391"/>
    </row>
    <row r="173" spans="1:12" hidden="1" x14ac:dyDescent="0.25">
      <c r="A173" s="228" t="s">
        <v>2</v>
      </c>
      <c r="B173" s="263" t="s">
        <v>83</v>
      </c>
      <c r="C173" s="230" t="s">
        <v>171</v>
      </c>
      <c r="D173" s="230" t="s">
        <v>172</v>
      </c>
      <c r="E173" s="229" t="s">
        <v>14</v>
      </c>
      <c r="F173" s="231">
        <v>1651.97</v>
      </c>
      <c r="G173" s="229" t="s">
        <v>1</v>
      </c>
      <c r="H173" s="405">
        <f ca="1">INDEX(PRODUTIVIDADES!$M:$M,MATCH(tbAREAS[[#This Row],[TIPO DE ÁREA]],PRODUTIVIDADES!$B:$B,0)+MATCH(tbAREAS[[#This Row],[LOCALIDADE]],PRODUTIVIDADES!$A:$A,0)-3)*tbAREAS[[#This Row],[ÁREA EM M²]]</f>
        <v>14041.745000000001</v>
      </c>
      <c r="L173" s="391"/>
    </row>
    <row r="174" spans="1:12" hidden="1" x14ac:dyDescent="0.25">
      <c r="A174" s="228" t="s">
        <v>2</v>
      </c>
      <c r="B174" s="263" t="s">
        <v>83</v>
      </c>
      <c r="C174" s="230" t="s">
        <v>171</v>
      </c>
      <c r="D174" s="230" t="s">
        <v>172</v>
      </c>
      <c r="E174" s="229" t="s">
        <v>17</v>
      </c>
      <c r="F174" s="231">
        <v>1407.65</v>
      </c>
      <c r="G174" s="229" t="s">
        <v>1</v>
      </c>
      <c r="H174" s="405">
        <f ca="1">INDEX(PRODUTIVIDADES!$M:$M,MATCH(tbAREAS[[#This Row],[TIPO DE ÁREA]],PRODUTIVIDADES!$B:$B,0)+MATCH(tbAREAS[[#This Row],[LOCALIDADE]],PRODUTIVIDADES!$A:$A,0)-3)*tbAREAS[[#This Row],[ÁREA EM M²]]</f>
        <v>3293.9009999999998</v>
      </c>
      <c r="L174" s="391"/>
    </row>
    <row r="175" spans="1:12" hidden="1" x14ac:dyDescent="0.25">
      <c r="A175" s="228" t="s">
        <v>2</v>
      </c>
      <c r="B175" s="263" t="s">
        <v>83</v>
      </c>
      <c r="C175" s="230" t="s">
        <v>171</v>
      </c>
      <c r="D175" s="230" t="s">
        <v>172</v>
      </c>
      <c r="E175" s="229" t="s">
        <v>18</v>
      </c>
      <c r="F175" s="231">
        <v>222.09</v>
      </c>
      <c r="G175" s="229" t="s">
        <v>1</v>
      </c>
      <c r="H175" s="405">
        <f ca="1">INDEX(PRODUTIVIDADES!$M:$M,MATCH(tbAREAS[[#This Row],[TIPO DE ÁREA]],PRODUTIVIDADES!$B:$B,0)+MATCH(tbAREAS[[#This Row],[LOCALIDADE]],PRODUTIVIDADES!$A:$A,0)-3)*tbAREAS[[#This Row],[ÁREA EM M²]]</f>
        <v>10071.781500000001</v>
      </c>
      <c r="L175" s="391"/>
    </row>
    <row r="176" spans="1:12" hidden="1" x14ac:dyDescent="0.25">
      <c r="A176" s="228" t="s">
        <v>2</v>
      </c>
      <c r="B176" s="263" t="s">
        <v>83</v>
      </c>
      <c r="C176" s="230" t="s">
        <v>171</v>
      </c>
      <c r="D176" s="230" t="s">
        <v>172</v>
      </c>
      <c r="E176" s="229" t="s">
        <v>20</v>
      </c>
      <c r="F176" s="231">
        <v>219.17</v>
      </c>
      <c r="G176" s="229" t="s">
        <v>1</v>
      </c>
      <c r="H176" s="405">
        <f ca="1">INDEX(PRODUTIVIDADES!$M:$M,MATCH(tbAREAS[[#This Row],[TIPO DE ÁREA]],PRODUTIVIDADES!$B:$B,0)+MATCH(tbAREAS[[#This Row],[LOCALIDADE]],PRODUTIVIDADES!$A:$A,0)-3)*tbAREAS[[#This Row],[ÁREA EM M²]]</f>
        <v>170.95259999999999</v>
      </c>
      <c r="L176" s="391"/>
    </row>
    <row r="177" spans="1:12" hidden="1" x14ac:dyDescent="0.25">
      <c r="A177" s="228" t="s">
        <v>2</v>
      </c>
      <c r="B177" s="263" t="s">
        <v>83</v>
      </c>
      <c r="C177" s="230" t="s">
        <v>171</v>
      </c>
      <c r="D177" s="230" t="s">
        <v>172</v>
      </c>
      <c r="E177" s="229" t="s">
        <v>21</v>
      </c>
      <c r="F177" s="231">
        <v>1478.87</v>
      </c>
      <c r="G177" s="229" t="s">
        <v>1</v>
      </c>
      <c r="H177" s="405">
        <f ca="1">INDEX(PRODUTIVIDADES!$M:$M,MATCH(tbAREAS[[#This Row],[TIPO DE ÁREA]],PRODUTIVIDADES!$B:$B,0)+MATCH(tbAREAS[[#This Row],[LOCALIDADE]],PRODUTIVIDADES!$A:$A,0)-3)*tbAREAS[[#This Row],[ÁREA EM M²]]</f>
        <v>251.40790000000001</v>
      </c>
      <c r="L177" s="391"/>
    </row>
    <row r="178" spans="1:12" hidden="1" x14ac:dyDescent="0.25">
      <c r="A178" s="228" t="s">
        <v>2</v>
      </c>
      <c r="B178" s="263" t="s">
        <v>83</v>
      </c>
      <c r="C178" s="230" t="s">
        <v>171</v>
      </c>
      <c r="D178" s="230" t="s">
        <v>172</v>
      </c>
      <c r="E178" s="229" t="s">
        <v>22</v>
      </c>
      <c r="F178" s="231">
        <v>1478.87</v>
      </c>
      <c r="G178" s="229" t="s">
        <v>1</v>
      </c>
      <c r="H178" s="405">
        <f ca="1">INDEX(PRODUTIVIDADES!$M:$M,MATCH(tbAREAS[[#This Row],[TIPO DE ÁREA]],PRODUTIVIDADES!$B:$B,0)+MATCH(tbAREAS[[#This Row],[LOCALIDADE]],PRODUTIVIDADES!$A:$A,0)-3)*tbAREAS[[#This Row],[ÁREA EM M²]]</f>
        <v>591.548</v>
      </c>
      <c r="L178" s="391"/>
    </row>
    <row r="179" spans="1:12" hidden="1" x14ac:dyDescent="0.25">
      <c r="A179" s="228" t="s">
        <v>2</v>
      </c>
      <c r="B179" s="263" t="s">
        <v>83</v>
      </c>
      <c r="C179" s="230" t="s">
        <v>173</v>
      </c>
      <c r="D179" s="230" t="s">
        <v>174</v>
      </c>
      <c r="E179" s="229" t="s">
        <v>9</v>
      </c>
      <c r="F179" s="231">
        <v>769.13</v>
      </c>
      <c r="G179" s="229" t="s">
        <v>1</v>
      </c>
      <c r="H179" s="405">
        <f ca="1">INDEX(PRODUTIVIDADES!$M:$M,MATCH(tbAREAS[[#This Row],[TIPO DE ÁREA]],PRODUTIVIDADES!$B:$B,0)+MATCH(tbAREAS[[#This Row],[LOCALIDADE]],PRODUTIVIDADES!$A:$A,0)-3)*tbAREAS[[#This Row],[ÁREA EM M²]]</f>
        <v>5999.2139999999999</v>
      </c>
      <c r="L179" s="391"/>
    </row>
    <row r="180" spans="1:12" hidden="1" x14ac:dyDescent="0.25">
      <c r="A180" s="228" t="s">
        <v>2</v>
      </c>
      <c r="B180" s="263" t="s">
        <v>83</v>
      </c>
      <c r="C180" s="230" t="s">
        <v>173</v>
      </c>
      <c r="D180" s="230" t="s">
        <v>174</v>
      </c>
      <c r="E180" s="229" t="s">
        <v>10</v>
      </c>
      <c r="F180" s="231">
        <v>398.7</v>
      </c>
      <c r="G180" s="229" t="s">
        <v>1</v>
      </c>
      <c r="H180" s="405">
        <f ca="1">INDEX(PRODUTIVIDADES!$M:$M,MATCH(tbAREAS[[#This Row],[TIPO DE ÁREA]],PRODUTIVIDADES!$B:$B,0)+MATCH(tbAREAS[[#This Row],[LOCALIDADE]],PRODUTIVIDADES!$A:$A,0)-3)*tbAREAS[[#This Row],[ÁREA EM M²]]</f>
        <v>1243.944</v>
      </c>
      <c r="L180" s="391"/>
    </row>
    <row r="181" spans="1:12" hidden="1" x14ac:dyDescent="0.25">
      <c r="A181" s="228" t="s">
        <v>2</v>
      </c>
      <c r="B181" s="263" t="s">
        <v>83</v>
      </c>
      <c r="C181" s="230" t="s">
        <v>173</v>
      </c>
      <c r="D181" s="230" t="s">
        <v>174</v>
      </c>
      <c r="E181" s="229" t="s">
        <v>14</v>
      </c>
      <c r="F181" s="231">
        <v>377.83</v>
      </c>
      <c r="G181" s="229" t="s">
        <v>1</v>
      </c>
      <c r="H181" s="405">
        <f ca="1">INDEX(PRODUTIVIDADES!$M:$M,MATCH(tbAREAS[[#This Row],[TIPO DE ÁREA]],PRODUTIVIDADES!$B:$B,0)+MATCH(tbAREAS[[#This Row],[LOCALIDADE]],PRODUTIVIDADES!$A:$A,0)-3)*tbAREAS[[#This Row],[ÁREA EM M²]]</f>
        <v>3211.5549999999998</v>
      </c>
      <c r="L181" s="391"/>
    </row>
    <row r="182" spans="1:12" hidden="1" x14ac:dyDescent="0.25">
      <c r="A182" s="228" t="s">
        <v>2</v>
      </c>
      <c r="B182" s="263" t="s">
        <v>83</v>
      </c>
      <c r="C182" s="230" t="s">
        <v>173</v>
      </c>
      <c r="D182" s="230" t="s">
        <v>174</v>
      </c>
      <c r="E182" s="229" t="s">
        <v>17</v>
      </c>
      <c r="F182" s="231">
        <v>568.66</v>
      </c>
      <c r="G182" s="229" t="s">
        <v>1</v>
      </c>
      <c r="H182" s="405">
        <f ca="1">INDEX(PRODUTIVIDADES!$M:$M,MATCH(tbAREAS[[#This Row],[TIPO DE ÁREA]],PRODUTIVIDADES!$B:$B,0)+MATCH(tbAREAS[[#This Row],[LOCALIDADE]],PRODUTIVIDADES!$A:$A,0)-3)*tbAREAS[[#This Row],[ÁREA EM M²]]</f>
        <v>1330.6643999999999</v>
      </c>
      <c r="L182" s="391"/>
    </row>
    <row r="183" spans="1:12" hidden="1" x14ac:dyDescent="0.25">
      <c r="A183" s="228" t="s">
        <v>2</v>
      </c>
      <c r="B183" s="263" t="s">
        <v>83</v>
      </c>
      <c r="C183" s="230" t="s">
        <v>173</v>
      </c>
      <c r="D183" s="230" t="s">
        <v>174</v>
      </c>
      <c r="E183" s="229" t="s">
        <v>18</v>
      </c>
      <c r="F183" s="231">
        <v>125.87</v>
      </c>
      <c r="G183" s="229" t="s">
        <v>1</v>
      </c>
      <c r="H183" s="405">
        <f ca="1">INDEX(PRODUTIVIDADES!$M:$M,MATCH(tbAREAS[[#This Row],[TIPO DE ÁREA]],PRODUTIVIDADES!$B:$B,0)+MATCH(tbAREAS[[#This Row],[LOCALIDADE]],PRODUTIVIDADES!$A:$A,0)-3)*tbAREAS[[#This Row],[ÁREA EM M²]]</f>
        <v>5708.2045000000007</v>
      </c>
      <c r="L183" s="391"/>
    </row>
    <row r="184" spans="1:12" hidden="1" x14ac:dyDescent="0.25">
      <c r="A184" s="228" t="s">
        <v>2</v>
      </c>
      <c r="B184" s="263" t="s">
        <v>83</v>
      </c>
      <c r="C184" s="230" t="s">
        <v>173</v>
      </c>
      <c r="D184" s="230" t="s">
        <v>174</v>
      </c>
      <c r="E184" s="229" t="s">
        <v>21</v>
      </c>
      <c r="F184" s="231">
        <v>483.95</v>
      </c>
      <c r="G184" s="229" t="s">
        <v>1</v>
      </c>
      <c r="H184" s="405">
        <f ca="1">INDEX(PRODUTIVIDADES!$M:$M,MATCH(tbAREAS[[#This Row],[TIPO DE ÁREA]],PRODUTIVIDADES!$B:$B,0)+MATCH(tbAREAS[[#This Row],[LOCALIDADE]],PRODUTIVIDADES!$A:$A,0)-3)*tbAREAS[[#This Row],[ÁREA EM M²]]</f>
        <v>82.271500000000003</v>
      </c>
      <c r="L184" s="391"/>
    </row>
    <row r="185" spans="1:12" hidden="1" x14ac:dyDescent="0.25">
      <c r="A185" s="228" t="s">
        <v>2</v>
      </c>
      <c r="B185" s="263" t="s">
        <v>83</v>
      </c>
      <c r="C185" s="230" t="s">
        <v>173</v>
      </c>
      <c r="D185" s="230" t="s">
        <v>174</v>
      </c>
      <c r="E185" s="229" t="s">
        <v>22</v>
      </c>
      <c r="F185" s="231">
        <v>483.95</v>
      </c>
      <c r="G185" s="229" t="s">
        <v>1</v>
      </c>
      <c r="H185" s="405">
        <f ca="1">INDEX(PRODUTIVIDADES!$M:$M,MATCH(tbAREAS[[#This Row],[TIPO DE ÁREA]],PRODUTIVIDADES!$B:$B,0)+MATCH(tbAREAS[[#This Row],[LOCALIDADE]],PRODUTIVIDADES!$A:$A,0)-3)*tbAREAS[[#This Row],[ÁREA EM M²]]</f>
        <v>193.58</v>
      </c>
      <c r="L185" s="391"/>
    </row>
    <row r="186" spans="1:12" hidden="1" x14ac:dyDescent="0.25">
      <c r="A186" s="228" t="s">
        <v>2</v>
      </c>
      <c r="B186" s="263" t="s">
        <v>83</v>
      </c>
      <c r="C186" s="230" t="s">
        <v>175</v>
      </c>
      <c r="D186" s="230" t="s">
        <v>176</v>
      </c>
      <c r="E186" s="229" t="s">
        <v>9</v>
      </c>
      <c r="F186" s="231">
        <v>558.77</v>
      </c>
      <c r="G186" s="229" t="s">
        <v>1</v>
      </c>
      <c r="H186" s="405">
        <f ca="1">INDEX(PRODUTIVIDADES!$M:$M,MATCH(tbAREAS[[#This Row],[TIPO DE ÁREA]],PRODUTIVIDADES!$B:$B,0)+MATCH(tbAREAS[[#This Row],[LOCALIDADE]],PRODUTIVIDADES!$A:$A,0)-3)*tbAREAS[[#This Row],[ÁREA EM M²]]</f>
        <v>4358.4059999999999</v>
      </c>
      <c r="L186" s="391"/>
    </row>
    <row r="187" spans="1:12" hidden="1" x14ac:dyDescent="0.25">
      <c r="A187" s="228" t="s">
        <v>2</v>
      </c>
      <c r="B187" s="263" t="s">
        <v>83</v>
      </c>
      <c r="C187" s="230" t="s">
        <v>175</v>
      </c>
      <c r="D187" s="230" t="s">
        <v>176</v>
      </c>
      <c r="E187" s="229" t="s">
        <v>10</v>
      </c>
      <c r="F187" s="231">
        <v>206.17</v>
      </c>
      <c r="G187" s="229" t="s">
        <v>1</v>
      </c>
      <c r="H187" s="405">
        <f ca="1">INDEX(PRODUTIVIDADES!$M:$M,MATCH(tbAREAS[[#This Row],[TIPO DE ÁREA]],PRODUTIVIDADES!$B:$B,0)+MATCH(tbAREAS[[#This Row],[LOCALIDADE]],PRODUTIVIDADES!$A:$A,0)-3)*tbAREAS[[#This Row],[ÁREA EM M²]]</f>
        <v>643.25040000000001</v>
      </c>
      <c r="L187" s="391"/>
    </row>
    <row r="188" spans="1:12" hidden="1" x14ac:dyDescent="0.25">
      <c r="A188" s="228" t="s">
        <v>2</v>
      </c>
      <c r="B188" s="263" t="s">
        <v>83</v>
      </c>
      <c r="C188" s="230" t="s">
        <v>175</v>
      </c>
      <c r="D188" s="230" t="s">
        <v>176</v>
      </c>
      <c r="E188" s="229" t="s">
        <v>14</v>
      </c>
      <c r="F188" s="231">
        <v>102.08</v>
      </c>
      <c r="G188" s="229" t="s">
        <v>1</v>
      </c>
      <c r="H188" s="405">
        <f ca="1">INDEX(PRODUTIVIDADES!$M:$M,MATCH(tbAREAS[[#This Row],[TIPO DE ÁREA]],PRODUTIVIDADES!$B:$B,0)+MATCH(tbAREAS[[#This Row],[LOCALIDADE]],PRODUTIVIDADES!$A:$A,0)-3)*tbAREAS[[#This Row],[ÁREA EM M²]]</f>
        <v>867.68</v>
      </c>
      <c r="L188" s="391"/>
    </row>
    <row r="189" spans="1:12" hidden="1" x14ac:dyDescent="0.25">
      <c r="A189" s="228" t="s">
        <v>2</v>
      </c>
      <c r="B189" s="263" t="s">
        <v>83</v>
      </c>
      <c r="C189" s="230" t="s">
        <v>175</v>
      </c>
      <c r="D189" s="230" t="s">
        <v>176</v>
      </c>
      <c r="E189" s="229" t="s">
        <v>17</v>
      </c>
      <c r="F189" s="231">
        <v>630.44000000000005</v>
      </c>
      <c r="G189" s="229" t="s">
        <v>1</v>
      </c>
      <c r="H189" s="405">
        <f ca="1">INDEX(PRODUTIVIDADES!$M:$M,MATCH(tbAREAS[[#This Row],[TIPO DE ÁREA]],PRODUTIVIDADES!$B:$B,0)+MATCH(tbAREAS[[#This Row],[LOCALIDADE]],PRODUTIVIDADES!$A:$A,0)-3)*tbAREAS[[#This Row],[ÁREA EM M²]]</f>
        <v>1475.2296000000001</v>
      </c>
      <c r="L189" s="391"/>
    </row>
    <row r="190" spans="1:12" hidden="1" x14ac:dyDescent="0.25">
      <c r="A190" s="228" t="s">
        <v>2</v>
      </c>
      <c r="B190" s="263" t="s">
        <v>83</v>
      </c>
      <c r="C190" s="230" t="s">
        <v>175</v>
      </c>
      <c r="D190" s="230" t="s">
        <v>176</v>
      </c>
      <c r="E190" s="229" t="s">
        <v>18</v>
      </c>
      <c r="F190" s="231">
        <v>30.92</v>
      </c>
      <c r="G190" s="229" t="s">
        <v>1</v>
      </c>
      <c r="H190" s="405">
        <f ca="1">INDEX(PRODUTIVIDADES!$M:$M,MATCH(tbAREAS[[#This Row],[TIPO DE ÁREA]],PRODUTIVIDADES!$B:$B,0)+MATCH(tbAREAS[[#This Row],[LOCALIDADE]],PRODUTIVIDADES!$A:$A,0)-3)*tbAREAS[[#This Row],[ÁREA EM M²]]</f>
        <v>1402.2220000000002</v>
      </c>
      <c r="L190" s="391"/>
    </row>
    <row r="191" spans="1:12" hidden="1" x14ac:dyDescent="0.25">
      <c r="A191" s="228" t="s">
        <v>2</v>
      </c>
      <c r="B191" s="263" t="s">
        <v>83</v>
      </c>
      <c r="C191" s="230" t="s">
        <v>175</v>
      </c>
      <c r="D191" s="230" t="s">
        <v>176</v>
      </c>
      <c r="E191" s="229" t="s">
        <v>21</v>
      </c>
      <c r="F191" s="231">
        <v>276.01</v>
      </c>
      <c r="G191" s="229" t="s">
        <v>1</v>
      </c>
      <c r="H191" s="405">
        <f ca="1">INDEX(PRODUTIVIDADES!$M:$M,MATCH(tbAREAS[[#This Row],[TIPO DE ÁREA]],PRODUTIVIDADES!$B:$B,0)+MATCH(tbAREAS[[#This Row],[LOCALIDADE]],PRODUTIVIDADES!$A:$A,0)-3)*tbAREAS[[#This Row],[ÁREA EM M²]]</f>
        <v>46.921700000000001</v>
      </c>
      <c r="L191" s="391"/>
    </row>
    <row r="192" spans="1:12" hidden="1" x14ac:dyDescent="0.25">
      <c r="A192" s="228" t="s">
        <v>2</v>
      </c>
      <c r="B192" s="263" t="s">
        <v>83</v>
      </c>
      <c r="C192" s="230" t="s">
        <v>175</v>
      </c>
      <c r="D192" s="230" t="s">
        <v>176</v>
      </c>
      <c r="E192" s="229" t="s">
        <v>22</v>
      </c>
      <c r="F192" s="231">
        <v>276.01</v>
      </c>
      <c r="G192" s="229" t="s">
        <v>1</v>
      </c>
      <c r="H192" s="405">
        <f ca="1">INDEX(PRODUTIVIDADES!$M:$M,MATCH(tbAREAS[[#This Row],[TIPO DE ÁREA]],PRODUTIVIDADES!$B:$B,0)+MATCH(tbAREAS[[#This Row],[LOCALIDADE]],PRODUTIVIDADES!$A:$A,0)-3)*tbAREAS[[#This Row],[ÁREA EM M²]]</f>
        <v>110.404</v>
      </c>
      <c r="L192" s="391"/>
    </row>
    <row r="193" spans="1:12" hidden="1" x14ac:dyDescent="0.25">
      <c r="A193" s="228" t="s">
        <v>2</v>
      </c>
      <c r="B193" s="263" t="s">
        <v>83</v>
      </c>
      <c r="C193" s="230" t="s">
        <v>177</v>
      </c>
      <c r="D193" s="230" t="s">
        <v>178</v>
      </c>
      <c r="E193" s="229" t="s">
        <v>9</v>
      </c>
      <c r="F193" s="231">
        <v>1862.76</v>
      </c>
      <c r="G193" s="229" t="s">
        <v>1</v>
      </c>
      <c r="H193" s="405">
        <f ca="1">INDEX(PRODUTIVIDADES!$M:$M,MATCH(tbAREAS[[#This Row],[TIPO DE ÁREA]],PRODUTIVIDADES!$B:$B,0)+MATCH(tbAREAS[[#This Row],[LOCALIDADE]],PRODUTIVIDADES!$A:$A,0)-3)*tbAREAS[[#This Row],[ÁREA EM M²]]</f>
        <v>14529.528</v>
      </c>
      <c r="L193" s="391"/>
    </row>
    <row r="194" spans="1:12" hidden="1" x14ac:dyDescent="0.25">
      <c r="A194" s="228" t="s">
        <v>2</v>
      </c>
      <c r="B194" s="263" t="s">
        <v>83</v>
      </c>
      <c r="C194" s="230" t="s">
        <v>177</v>
      </c>
      <c r="D194" s="230" t="s">
        <v>178</v>
      </c>
      <c r="E194" s="229" t="s">
        <v>10</v>
      </c>
      <c r="F194" s="231">
        <v>1604.18</v>
      </c>
      <c r="G194" s="229" t="s">
        <v>1</v>
      </c>
      <c r="H194" s="405">
        <f ca="1">INDEX(PRODUTIVIDADES!$M:$M,MATCH(tbAREAS[[#This Row],[TIPO DE ÁREA]],PRODUTIVIDADES!$B:$B,0)+MATCH(tbAREAS[[#This Row],[LOCALIDADE]],PRODUTIVIDADES!$A:$A,0)-3)*tbAREAS[[#This Row],[ÁREA EM M²]]</f>
        <v>5005.0416000000005</v>
      </c>
      <c r="L194" s="391"/>
    </row>
    <row r="195" spans="1:12" hidden="1" x14ac:dyDescent="0.25">
      <c r="A195" s="228" t="s">
        <v>2</v>
      </c>
      <c r="B195" s="263" t="s">
        <v>83</v>
      </c>
      <c r="C195" s="230" t="s">
        <v>177</v>
      </c>
      <c r="D195" s="230" t="s">
        <v>178</v>
      </c>
      <c r="E195" s="229" t="s">
        <v>13</v>
      </c>
      <c r="F195" s="231">
        <v>141.35</v>
      </c>
      <c r="G195" s="229" t="s">
        <v>1</v>
      </c>
      <c r="H195" s="405">
        <f ca="1">INDEX(PRODUTIVIDADES!$M:$M,MATCH(tbAREAS[[#This Row],[TIPO DE ÁREA]],PRODUTIVIDADES!$B:$B,0)+MATCH(tbAREAS[[#This Row],[LOCALIDADE]],PRODUTIVIDADES!$A:$A,0)-3)*tbAREAS[[#This Row],[ÁREA EM M²]]</f>
        <v>441.012</v>
      </c>
      <c r="L195" s="391"/>
    </row>
    <row r="196" spans="1:12" hidden="1" x14ac:dyDescent="0.25">
      <c r="A196" s="228" t="s">
        <v>2</v>
      </c>
      <c r="B196" s="263" t="s">
        <v>83</v>
      </c>
      <c r="C196" s="230" t="s">
        <v>177</v>
      </c>
      <c r="D196" s="230" t="s">
        <v>178</v>
      </c>
      <c r="E196" s="229" t="s">
        <v>14</v>
      </c>
      <c r="F196" s="231">
        <v>1056.3499999999999</v>
      </c>
      <c r="G196" s="229" t="s">
        <v>1</v>
      </c>
      <c r="H196" s="405">
        <f ca="1">INDEX(PRODUTIVIDADES!$M:$M,MATCH(tbAREAS[[#This Row],[TIPO DE ÁREA]],PRODUTIVIDADES!$B:$B,0)+MATCH(tbAREAS[[#This Row],[LOCALIDADE]],PRODUTIVIDADES!$A:$A,0)-3)*tbAREAS[[#This Row],[ÁREA EM M²]]</f>
        <v>8978.9749999999985</v>
      </c>
      <c r="L196" s="391"/>
    </row>
    <row r="197" spans="1:12" hidden="1" x14ac:dyDescent="0.25">
      <c r="A197" s="228" t="s">
        <v>2</v>
      </c>
      <c r="B197" s="263" t="s">
        <v>83</v>
      </c>
      <c r="C197" s="230" t="s">
        <v>177</v>
      </c>
      <c r="D197" s="230" t="s">
        <v>178</v>
      </c>
      <c r="E197" s="229" t="s">
        <v>17</v>
      </c>
      <c r="F197" s="231">
        <v>1448.84</v>
      </c>
      <c r="G197" s="229" t="s">
        <v>1</v>
      </c>
      <c r="H197" s="405">
        <f ca="1">INDEX(PRODUTIVIDADES!$M:$M,MATCH(tbAREAS[[#This Row],[TIPO DE ÁREA]],PRODUTIVIDADES!$B:$B,0)+MATCH(tbAREAS[[#This Row],[LOCALIDADE]],PRODUTIVIDADES!$A:$A,0)-3)*tbAREAS[[#This Row],[ÁREA EM M²]]</f>
        <v>3390.2855999999997</v>
      </c>
      <c r="L197" s="391"/>
    </row>
    <row r="198" spans="1:12" hidden="1" x14ac:dyDescent="0.25">
      <c r="A198" s="228" t="s">
        <v>2</v>
      </c>
      <c r="B198" s="263" t="s">
        <v>83</v>
      </c>
      <c r="C198" s="230" t="s">
        <v>177</v>
      </c>
      <c r="D198" s="230" t="s">
        <v>178</v>
      </c>
      <c r="E198" s="229" t="s">
        <v>18</v>
      </c>
      <c r="F198" s="231">
        <v>287.97000000000003</v>
      </c>
      <c r="G198" s="229" t="s">
        <v>1</v>
      </c>
      <c r="H198" s="405">
        <f ca="1">INDEX(PRODUTIVIDADES!$M:$M,MATCH(tbAREAS[[#This Row],[TIPO DE ÁREA]],PRODUTIVIDADES!$B:$B,0)+MATCH(tbAREAS[[#This Row],[LOCALIDADE]],PRODUTIVIDADES!$A:$A,0)-3)*tbAREAS[[#This Row],[ÁREA EM M²]]</f>
        <v>13059.439500000002</v>
      </c>
      <c r="L198" s="391"/>
    </row>
    <row r="199" spans="1:12" hidden="1" x14ac:dyDescent="0.25">
      <c r="A199" s="228" t="s">
        <v>2</v>
      </c>
      <c r="B199" s="263" t="s">
        <v>83</v>
      </c>
      <c r="C199" s="230" t="s">
        <v>177</v>
      </c>
      <c r="D199" s="230" t="s">
        <v>178</v>
      </c>
      <c r="E199" s="229" t="s">
        <v>20</v>
      </c>
      <c r="F199" s="231">
        <v>267.91000000000003</v>
      </c>
      <c r="G199" s="229" t="s">
        <v>1</v>
      </c>
      <c r="H199" s="405">
        <f ca="1">INDEX(PRODUTIVIDADES!$M:$M,MATCH(tbAREAS[[#This Row],[TIPO DE ÁREA]],PRODUTIVIDADES!$B:$B,0)+MATCH(tbAREAS[[#This Row],[LOCALIDADE]],PRODUTIVIDADES!$A:$A,0)-3)*tbAREAS[[#This Row],[ÁREA EM M²]]</f>
        <v>208.96980000000002</v>
      </c>
      <c r="L199" s="391"/>
    </row>
    <row r="200" spans="1:12" hidden="1" x14ac:dyDescent="0.25">
      <c r="A200" s="228" t="s">
        <v>2</v>
      </c>
      <c r="B200" s="263" t="s">
        <v>83</v>
      </c>
      <c r="C200" s="230" t="s">
        <v>177</v>
      </c>
      <c r="D200" s="230" t="s">
        <v>178</v>
      </c>
      <c r="E200" s="229" t="s">
        <v>21</v>
      </c>
      <c r="F200" s="231">
        <v>1321.97</v>
      </c>
      <c r="G200" s="229" t="s">
        <v>1</v>
      </c>
      <c r="H200" s="405">
        <f ca="1">INDEX(PRODUTIVIDADES!$M:$M,MATCH(tbAREAS[[#This Row],[TIPO DE ÁREA]],PRODUTIVIDADES!$B:$B,0)+MATCH(tbAREAS[[#This Row],[LOCALIDADE]],PRODUTIVIDADES!$A:$A,0)-3)*tbAREAS[[#This Row],[ÁREA EM M²]]</f>
        <v>224.73490000000001</v>
      </c>
      <c r="L200" s="391"/>
    </row>
    <row r="201" spans="1:12" hidden="1" x14ac:dyDescent="0.25">
      <c r="A201" s="228" t="s">
        <v>2</v>
      </c>
      <c r="B201" s="263" t="s">
        <v>83</v>
      </c>
      <c r="C201" s="230" t="s">
        <v>177</v>
      </c>
      <c r="D201" s="230" t="s">
        <v>178</v>
      </c>
      <c r="E201" s="229" t="s">
        <v>22</v>
      </c>
      <c r="F201" s="231">
        <v>1321.97</v>
      </c>
      <c r="G201" s="229" t="s">
        <v>1</v>
      </c>
      <c r="H201" s="405">
        <f ca="1">INDEX(PRODUTIVIDADES!$M:$M,MATCH(tbAREAS[[#This Row],[TIPO DE ÁREA]],PRODUTIVIDADES!$B:$B,0)+MATCH(tbAREAS[[#This Row],[LOCALIDADE]],PRODUTIVIDADES!$A:$A,0)-3)*tbAREAS[[#This Row],[ÁREA EM M²]]</f>
        <v>528.78800000000001</v>
      </c>
      <c r="L201" s="391"/>
    </row>
    <row r="202" spans="1:12" hidden="1" x14ac:dyDescent="0.25">
      <c r="A202" s="228" t="s">
        <v>2</v>
      </c>
      <c r="B202" s="263" t="s">
        <v>83</v>
      </c>
      <c r="C202" s="230" t="s">
        <v>86</v>
      </c>
      <c r="D202" s="230" t="s">
        <v>179</v>
      </c>
      <c r="E202" s="229" t="s">
        <v>9</v>
      </c>
      <c r="F202" s="231">
        <v>82.8</v>
      </c>
      <c r="G202" s="229" t="s">
        <v>1</v>
      </c>
      <c r="H202" s="405">
        <f ca="1">INDEX(PRODUTIVIDADES!$M:$M,MATCH(tbAREAS[[#This Row],[TIPO DE ÁREA]],PRODUTIVIDADES!$B:$B,0)+MATCH(tbAREAS[[#This Row],[LOCALIDADE]],PRODUTIVIDADES!$A:$A,0)-3)*tbAREAS[[#This Row],[ÁREA EM M²]]</f>
        <v>645.83999999999992</v>
      </c>
      <c r="L202" s="391"/>
    </row>
    <row r="203" spans="1:12" hidden="1" x14ac:dyDescent="0.25">
      <c r="A203" s="228" t="s">
        <v>2</v>
      </c>
      <c r="B203" s="263" t="s">
        <v>83</v>
      </c>
      <c r="C203" s="230" t="s">
        <v>86</v>
      </c>
      <c r="D203" s="230" t="s">
        <v>179</v>
      </c>
      <c r="E203" s="229" t="s">
        <v>10</v>
      </c>
      <c r="F203" s="231">
        <v>242.36</v>
      </c>
      <c r="G203" s="229" t="s">
        <v>1</v>
      </c>
      <c r="H203" s="405">
        <f ca="1">INDEX(PRODUTIVIDADES!$M:$M,MATCH(tbAREAS[[#This Row],[TIPO DE ÁREA]],PRODUTIVIDADES!$B:$B,0)+MATCH(tbAREAS[[#This Row],[LOCALIDADE]],PRODUTIVIDADES!$A:$A,0)-3)*tbAREAS[[#This Row],[ÁREA EM M²]]</f>
        <v>756.16320000000007</v>
      </c>
      <c r="L203" s="391"/>
    </row>
    <row r="204" spans="1:12" hidden="1" x14ac:dyDescent="0.25">
      <c r="A204" s="228" t="s">
        <v>2</v>
      </c>
      <c r="B204" s="263" t="s">
        <v>83</v>
      </c>
      <c r="C204" s="230" t="s">
        <v>86</v>
      </c>
      <c r="D204" s="230" t="s">
        <v>179</v>
      </c>
      <c r="E204" s="229" t="s">
        <v>14</v>
      </c>
      <c r="F204" s="231">
        <v>270.27999999999997</v>
      </c>
      <c r="G204" s="229" t="s">
        <v>1</v>
      </c>
      <c r="H204" s="405">
        <f ca="1">INDEX(PRODUTIVIDADES!$M:$M,MATCH(tbAREAS[[#This Row],[TIPO DE ÁREA]],PRODUTIVIDADES!$B:$B,0)+MATCH(tbAREAS[[#This Row],[LOCALIDADE]],PRODUTIVIDADES!$A:$A,0)-3)*tbAREAS[[#This Row],[ÁREA EM M²]]</f>
        <v>2297.3799999999997</v>
      </c>
      <c r="L204" s="391"/>
    </row>
    <row r="205" spans="1:12" hidden="1" x14ac:dyDescent="0.25">
      <c r="A205" s="228" t="s">
        <v>2</v>
      </c>
      <c r="B205" s="263" t="s">
        <v>83</v>
      </c>
      <c r="C205" s="230" t="s">
        <v>86</v>
      </c>
      <c r="D205" s="230" t="s">
        <v>179</v>
      </c>
      <c r="E205" s="229" t="s">
        <v>17</v>
      </c>
      <c r="F205" s="231">
        <v>207.03</v>
      </c>
      <c r="G205" s="229" t="s">
        <v>1</v>
      </c>
      <c r="H205" s="405">
        <f ca="1">INDEX(PRODUTIVIDADES!$M:$M,MATCH(tbAREAS[[#This Row],[TIPO DE ÁREA]],PRODUTIVIDADES!$B:$B,0)+MATCH(tbAREAS[[#This Row],[LOCALIDADE]],PRODUTIVIDADES!$A:$A,0)-3)*tbAREAS[[#This Row],[ÁREA EM M²]]</f>
        <v>484.4502</v>
      </c>
      <c r="L205" s="391"/>
    </row>
    <row r="206" spans="1:12" hidden="1" x14ac:dyDescent="0.25">
      <c r="A206" s="228" t="s">
        <v>2</v>
      </c>
      <c r="B206" s="263" t="s">
        <v>83</v>
      </c>
      <c r="C206" s="230" t="s">
        <v>86</v>
      </c>
      <c r="D206" s="230" t="s">
        <v>179</v>
      </c>
      <c r="E206" s="229" t="s">
        <v>18</v>
      </c>
      <c r="F206" s="231">
        <v>31.45</v>
      </c>
      <c r="G206" s="229" t="s">
        <v>1</v>
      </c>
      <c r="H206" s="405">
        <f ca="1">INDEX(PRODUTIVIDADES!$M:$M,MATCH(tbAREAS[[#This Row],[TIPO DE ÁREA]],PRODUTIVIDADES!$B:$B,0)+MATCH(tbAREAS[[#This Row],[LOCALIDADE]],PRODUTIVIDADES!$A:$A,0)-3)*tbAREAS[[#This Row],[ÁREA EM M²]]</f>
        <v>1426.2574999999999</v>
      </c>
      <c r="L206" s="391"/>
    </row>
    <row r="207" spans="1:12" hidden="1" x14ac:dyDescent="0.25">
      <c r="A207" s="228" t="s">
        <v>2</v>
      </c>
      <c r="B207" s="263" t="s">
        <v>83</v>
      </c>
      <c r="C207" s="230" t="s">
        <v>86</v>
      </c>
      <c r="D207" s="230" t="s">
        <v>179</v>
      </c>
      <c r="E207" s="229" t="s">
        <v>21</v>
      </c>
      <c r="F207" s="231">
        <v>122.98</v>
      </c>
      <c r="G207" s="229" t="s">
        <v>1</v>
      </c>
      <c r="H207" s="405">
        <f ca="1">INDEX(PRODUTIVIDADES!$M:$M,MATCH(tbAREAS[[#This Row],[TIPO DE ÁREA]],PRODUTIVIDADES!$B:$B,0)+MATCH(tbAREAS[[#This Row],[LOCALIDADE]],PRODUTIVIDADES!$A:$A,0)-3)*tbAREAS[[#This Row],[ÁREA EM M²]]</f>
        <v>20.906600000000001</v>
      </c>
      <c r="L207" s="391"/>
    </row>
    <row r="208" spans="1:12" hidden="1" x14ac:dyDescent="0.25">
      <c r="A208" s="228" t="s">
        <v>2</v>
      </c>
      <c r="B208" s="263" t="s">
        <v>83</v>
      </c>
      <c r="C208" s="230" t="s">
        <v>86</v>
      </c>
      <c r="D208" s="230" t="s">
        <v>179</v>
      </c>
      <c r="E208" s="229" t="s">
        <v>22</v>
      </c>
      <c r="F208" s="231">
        <v>122.98</v>
      </c>
      <c r="G208" s="229" t="s">
        <v>1</v>
      </c>
      <c r="H208" s="405">
        <f ca="1">INDEX(PRODUTIVIDADES!$M:$M,MATCH(tbAREAS[[#This Row],[TIPO DE ÁREA]],PRODUTIVIDADES!$B:$B,0)+MATCH(tbAREAS[[#This Row],[LOCALIDADE]],PRODUTIVIDADES!$A:$A,0)-3)*tbAREAS[[#This Row],[ÁREA EM M²]]</f>
        <v>49.192000000000007</v>
      </c>
      <c r="L208" s="391"/>
    </row>
    <row r="209" spans="1:12" hidden="1" x14ac:dyDescent="0.25">
      <c r="A209" s="228" t="s">
        <v>2</v>
      </c>
      <c r="B209" s="263" t="s">
        <v>83</v>
      </c>
      <c r="C209" s="230" t="s">
        <v>180</v>
      </c>
      <c r="D209" s="230" t="s">
        <v>181</v>
      </c>
      <c r="E209" s="229" t="s">
        <v>10</v>
      </c>
      <c r="F209" s="231">
        <v>33.229999999999997</v>
      </c>
      <c r="G209" s="229" t="s">
        <v>1</v>
      </c>
      <c r="H209" s="405">
        <f ca="1">INDEX(PRODUTIVIDADES!$M:$M,MATCH(tbAREAS[[#This Row],[TIPO DE ÁREA]],PRODUTIVIDADES!$B:$B,0)+MATCH(tbAREAS[[#This Row],[LOCALIDADE]],PRODUTIVIDADES!$A:$A,0)-3)*tbAREAS[[#This Row],[ÁREA EM M²]]</f>
        <v>103.6776</v>
      </c>
      <c r="L209" s="391"/>
    </row>
    <row r="210" spans="1:12" hidden="1" x14ac:dyDescent="0.25">
      <c r="A210" s="228" t="s">
        <v>2</v>
      </c>
      <c r="B210" s="263" t="s">
        <v>83</v>
      </c>
      <c r="C210" s="230" t="s">
        <v>180</v>
      </c>
      <c r="D210" s="230" t="s">
        <v>181</v>
      </c>
      <c r="E210" s="229" t="s">
        <v>18</v>
      </c>
      <c r="F210" s="231">
        <v>5.68</v>
      </c>
      <c r="G210" s="229" t="s">
        <v>1</v>
      </c>
      <c r="H210" s="405">
        <f ca="1">INDEX(PRODUTIVIDADES!$M:$M,MATCH(tbAREAS[[#This Row],[TIPO DE ÁREA]],PRODUTIVIDADES!$B:$B,0)+MATCH(tbAREAS[[#This Row],[LOCALIDADE]],PRODUTIVIDADES!$A:$A,0)-3)*tbAREAS[[#This Row],[ÁREA EM M²]]</f>
        <v>257.58800000000002</v>
      </c>
      <c r="L210" s="391"/>
    </row>
    <row r="211" spans="1:12" hidden="1" x14ac:dyDescent="0.25">
      <c r="A211" s="228" t="s">
        <v>2</v>
      </c>
      <c r="B211" s="263" t="s">
        <v>83</v>
      </c>
      <c r="C211" s="230" t="s">
        <v>180</v>
      </c>
      <c r="D211" s="230" t="s">
        <v>181</v>
      </c>
      <c r="E211" s="229" t="s">
        <v>21</v>
      </c>
      <c r="F211" s="231">
        <v>5.12</v>
      </c>
      <c r="G211" s="229" t="s">
        <v>1</v>
      </c>
      <c r="H211" s="405">
        <f ca="1">INDEX(PRODUTIVIDADES!$M:$M,MATCH(tbAREAS[[#This Row],[TIPO DE ÁREA]],PRODUTIVIDADES!$B:$B,0)+MATCH(tbAREAS[[#This Row],[LOCALIDADE]],PRODUTIVIDADES!$A:$A,0)-3)*tbAREAS[[#This Row],[ÁREA EM M²]]</f>
        <v>0.87040000000000006</v>
      </c>
      <c r="L211" s="391"/>
    </row>
    <row r="212" spans="1:12" hidden="1" x14ac:dyDescent="0.25">
      <c r="A212" s="228" t="s">
        <v>2</v>
      </c>
      <c r="B212" s="263" t="s">
        <v>83</v>
      </c>
      <c r="C212" s="230" t="s">
        <v>180</v>
      </c>
      <c r="D212" s="230" t="s">
        <v>181</v>
      </c>
      <c r="E212" s="229" t="s">
        <v>22</v>
      </c>
      <c r="F212" s="231">
        <v>5.12</v>
      </c>
      <c r="G212" s="229" t="s">
        <v>1</v>
      </c>
      <c r="H212" s="405">
        <f ca="1">INDEX(PRODUTIVIDADES!$M:$M,MATCH(tbAREAS[[#This Row],[TIPO DE ÁREA]],PRODUTIVIDADES!$B:$B,0)+MATCH(tbAREAS[[#This Row],[LOCALIDADE]],PRODUTIVIDADES!$A:$A,0)-3)*tbAREAS[[#This Row],[ÁREA EM M²]]</f>
        <v>2.048</v>
      </c>
      <c r="L212" s="391"/>
    </row>
    <row r="213" spans="1:12" hidden="1" x14ac:dyDescent="0.25">
      <c r="A213" s="228" t="s">
        <v>2</v>
      </c>
      <c r="B213" s="263" t="s">
        <v>83</v>
      </c>
      <c r="C213" s="230" t="s">
        <v>182</v>
      </c>
      <c r="D213" s="230" t="s">
        <v>181</v>
      </c>
      <c r="E213" s="229" t="s">
        <v>10</v>
      </c>
      <c r="F213" s="231">
        <v>50.79</v>
      </c>
      <c r="G213" s="229" t="s">
        <v>1</v>
      </c>
      <c r="H213" s="405">
        <f ca="1">INDEX(PRODUTIVIDADES!$M:$M,MATCH(tbAREAS[[#This Row],[TIPO DE ÁREA]],PRODUTIVIDADES!$B:$B,0)+MATCH(tbAREAS[[#This Row],[LOCALIDADE]],PRODUTIVIDADES!$A:$A,0)-3)*tbAREAS[[#This Row],[ÁREA EM M²]]</f>
        <v>158.4648</v>
      </c>
      <c r="L213" s="391"/>
    </row>
    <row r="214" spans="1:12" hidden="1" x14ac:dyDescent="0.25">
      <c r="A214" s="228" t="s">
        <v>2</v>
      </c>
      <c r="B214" s="263" t="s">
        <v>83</v>
      </c>
      <c r="C214" s="230" t="s">
        <v>182</v>
      </c>
      <c r="D214" s="230" t="s">
        <v>181</v>
      </c>
      <c r="E214" s="229" t="s">
        <v>14</v>
      </c>
      <c r="F214" s="231">
        <v>232.23</v>
      </c>
      <c r="G214" s="229" t="s">
        <v>1</v>
      </c>
      <c r="H214" s="405">
        <f ca="1">INDEX(PRODUTIVIDADES!$M:$M,MATCH(tbAREAS[[#This Row],[TIPO DE ÁREA]],PRODUTIVIDADES!$B:$B,0)+MATCH(tbAREAS[[#This Row],[LOCALIDADE]],PRODUTIVIDADES!$A:$A,0)-3)*tbAREAS[[#This Row],[ÁREA EM M²]]</f>
        <v>1973.9549999999999</v>
      </c>
      <c r="L214" s="391"/>
    </row>
    <row r="215" spans="1:12" hidden="1" x14ac:dyDescent="0.25">
      <c r="A215" s="228" t="s">
        <v>2</v>
      </c>
      <c r="B215" s="263" t="s">
        <v>83</v>
      </c>
      <c r="C215" s="230" t="s">
        <v>182</v>
      </c>
      <c r="D215" s="230" t="s">
        <v>181</v>
      </c>
      <c r="E215" s="229" t="s">
        <v>17</v>
      </c>
      <c r="F215" s="231">
        <v>135.82</v>
      </c>
      <c r="G215" s="229" t="s">
        <v>1</v>
      </c>
      <c r="H215" s="405">
        <f ca="1">INDEX(PRODUTIVIDADES!$M:$M,MATCH(tbAREAS[[#This Row],[TIPO DE ÁREA]],PRODUTIVIDADES!$B:$B,0)+MATCH(tbAREAS[[#This Row],[LOCALIDADE]],PRODUTIVIDADES!$A:$A,0)-3)*tbAREAS[[#This Row],[ÁREA EM M²]]</f>
        <v>317.81879999999995</v>
      </c>
      <c r="L215" s="391"/>
    </row>
    <row r="216" spans="1:12" hidden="1" x14ac:dyDescent="0.25">
      <c r="A216" s="228" t="s">
        <v>2</v>
      </c>
      <c r="B216" s="263" t="s">
        <v>83</v>
      </c>
      <c r="C216" s="230" t="s">
        <v>182</v>
      </c>
      <c r="D216" s="230" t="s">
        <v>181</v>
      </c>
      <c r="E216" s="229" t="s">
        <v>18</v>
      </c>
      <c r="F216" s="231">
        <v>26.25</v>
      </c>
      <c r="G216" s="229" t="s">
        <v>1</v>
      </c>
      <c r="H216" s="405">
        <f ca="1">INDEX(PRODUTIVIDADES!$M:$M,MATCH(tbAREAS[[#This Row],[TIPO DE ÁREA]],PRODUTIVIDADES!$B:$B,0)+MATCH(tbAREAS[[#This Row],[LOCALIDADE]],PRODUTIVIDADES!$A:$A,0)-3)*tbAREAS[[#This Row],[ÁREA EM M²]]</f>
        <v>1190.4375</v>
      </c>
      <c r="L216" s="391"/>
    </row>
    <row r="217" spans="1:12" hidden="1" x14ac:dyDescent="0.25">
      <c r="A217" s="228" t="s">
        <v>2</v>
      </c>
      <c r="B217" s="263" t="s">
        <v>83</v>
      </c>
      <c r="C217" s="230" t="s">
        <v>182</v>
      </c>
      <c r="D217" s="230" t="s">
        <v>181</v>
      </c>
      <c r="E217" s="229" t="s">
        <v>20</v>
      </c>
      <c r="F217" s="231">
        <v>18.55</v>
      </c>
      <c r="G217" s="229" t="s">
        <v>1</v>
      </c>
      <c r="H217" s="405">
        <f ca="1">INDEX(PRODUTIVIDADES!$M:$M,MATCH(tbAREAS[[#This Row],[TIPO DE ÁREA]],PRODUTIVIDADES!$B:$B,0)+MATCH(tbAREAS[[#This Row],[LOCALIDADE]],PRODUTIVIDADES!$A:$A,0)-3)*tbAREAS[[#This Row],[ÁREA EM M²]]</f>
        <v>14.469000000000001</v>
      </c>
      <c r="L217" s="391"/>
    </row>
    <row r="218" spans="1:12" hidden="1" x14ac:dyDescent="0.25">
      <c r="A218" s="228" t="s">
        <v>2</v>
      </c>
      <c r="B218" s="263" t="s">
        <v>83</v>
      </c>
      <c r="C218" s="230" t="s">
        <v>182</v>
      </c>
      <c r="D218" s="230" t="s">
        <v>181</v>
      </c>
      <c r="E218" s="229" t="s">
        <v>21</v>
      </c>
      <c r="F218" s="231">
        <v>52.25</v>
      </c>
      <c r="G218" s="229" t="s">
        <v>1</v>
      </c>
      <c r="H218" s="405">
        <f ca="1">INDEX(PRODUTIVIDADES!$M:$M,MATCH(tbAREAS[[#This Row],[TIPO DE ÁREA]],PRODUTIVIDADES!$B:$B,0)+MATCH(tbAREAS[[#This Row],[LOCALIDADE]],PRODUTIVIDADES!$A:$A,0)-3)*tbAREAS[[#This Row],[ÁREA EM M²]]</f>
        <v>8.8825000000000003</v>
      </c>
      <c r="L218" s="391"/>
    </row>
    <row r="219" spans="1:12" hidden="1" x14ac:dyDescent="0.25">
      <c r="A219" s="228" t="s">
        <v>2</v>
      </c>
      <c r="B219" s="263" t="s">
        <v>83</v>
      </c>
      <c r="C219" s="230" t="s">
        <v>182</v>
      </c>
      <c r="D219" s="230" t="s">
        <v>181</v>
      </c>
      <c r="E219" s="229" t="s">
        <v>22</v>
      </c>
      <c r="F219" s="231">
        <v>52.25</v>
      </c>
      <c r="G219" s="229" t="s">
        <v>1</v>
      </c>
      <c r="H219" s="405">
        <f ca="1">INDEX(PRODUTIVIDADES!$M:$M,MATCH(tbAREAS[[#This Row],[TIPO DE ÁREA]],PRODUTIVIDADES!$B:$B,0)+MATCH(tbAREAS[[#This Row],[LOCALIDADE]],PRODUTIVIDADES!$A:$A,0)-3)*tbAREAS[[#This Row],[ÁREA EM M²]]</f>
        <v>20.900000000000002</v>
      </c>
      <c r="L219" s="391"/>
    </row>
    <row r="220" spans="1:12" hidden="1" x14ac:dyDescent="0.25">
      <c r="A220" s="228" t="s">
        <v>2</v>
      </c>
      <c r="B220" s="263" t="s">
        <v>83</v>
      </c>
      <c r="C220" s="230" t="s">
        <v>183</v>
      </c>
      <c r="D220" s="230" t="s">
        <v>184</v>
      </c>
      <c r="E220" s="229" t="s">
        <v>10</v>
      </c>
      <c r="F220" s="231">
        <v>274.16000000000003</v>
      </c>
      <c r="G220" s="229" t="s">
        <v>1</v>
      </c>
      <c r="H220" s="405">
        <f ca="1">INDEX(PRODUTIVIDADES!$M:$M,MATCH(tbAREAS[[#This Row],[TIPO DE ÁREA]],PRODUTIVIDADES!$B:$B,0)+MATCH(tbAREAS[[#This Row],[LOCALIDADE]],PRODUTIVIDADES!$A:$A,0)-3)*tbAREAS[[#This Row],[ÁREA EM M²]]</f>
        <v>855.37920000000008</v>
      </c>
      <c r="L220" s="391"/>
    </row>
    <row r="221" spans="1:12" hidden="1" x14ac:dyDescent="0.25">
      <c r="A221" s="228" t="s">
        <v>2</v>
      </c>
      <c r="B221" s="263" t="s">
        <v>83</v>
      </c>
      <c r="C221" s="230" t="s">
        <v>183</v>
      </c>
      <c r="D221" s="230" t="s">
        <v>184</v>
      </c>
      <c r="E221" s="229" t="s">
        <v>13</v>
      </c>
      <c r="F221" s="231">
        <v>90.06</v>
      </c>
      <c r="G221" s="229" t="s">
        <v>1</v>
      </c>
      <c r="H221" s="405">
        <f ca="1">INDEX(PRODUTIVIDADES!$M:$M,MATCH(tbAREAS[[#This Row],[TIPO DE ÁREA]],PRODUTIVIDADES!$B:$B,0)+MATCH(tbAREAS[[#This Row],[LOCALIDADE]],PRODUTIVIDADES!$A:$A,0)-3)*tbAREAS[[#This Row],[ÁREA EM M²]]</f>
        <v>280.98720000000003</v>
      </c>
      <c r="L221" s="391"/>
    </row>
    <row r="222" spans="1:12" hidden="1" x14ac:dyDescent="0.25">
      <c r="A222" s="228" t="s">
        <v>2</v>
      </c>
      <c r="B222" s="263" t="s">
        <v>83</v>
      </c>
      <c r="C222" s="230" t="s">
        <v>183</v>
      </c>
      <c r="D222" s="230" t="s">
        <v>184</v>
      </c>
      <c r="E222" s="229" t="s">
        <v>14</v>
      </c>
      <c r="F222" s="231">
        <v>70.540000000000006</v>
      </c>
      <c r="G222" s="229" t="s">
        <v>1</v>
      </c>
      <c r="H222" s="405">
        <f ca="1">INDEX(PRODUTIVIDADES!$M:$M,MATCH(tbAREAS[[#This Row],[TIPO DE ÁREA]],PRODUTIVIDADES!$B:$B,0)+MATCH(tbAREAS[[#This Row],[LOCALIDADE]],PRODUTIVIDADES!$A:$A,0)-3)*tbAREAS[[#This Row],[ÁREA EM M²]]</f>
        <v>599.59</v>
      </c>
      <c r="L222" s="391"/>
    </row>
    <row r="223" spans="1:12" hidden="1" x14ac:dyDescent="0.25">
      <c r="A223" s="228" t="s">
        <v>2</v>
      </c>
      <c r="B223" s="263" t="s">
        <v>83</v>
      </c>
      <c r="C223" s="230" t="s">
        <v>183</v>
      </c>
      <c r="D223" s="230" t="s">
        <v>184</v>
      </c>
      <c r="E223" s="229" t="s">
        <v>17</v>
      </c>
      <c r="F223" s="231">
        <v>90.96</v>
      </c>
      <c r="G223" s="229" t="s">
        <v>1</v>
      </c>
      <c r="H223" s="405">
        <f ca="1">INDEX(PRODUTIVIDADES!$M:$M,MATCH(tbAREAS[[#This Row],[TIPO DE ÁREA]],PRODUTIVIDADES!$B:$B,0)+MATCH(tbAREAS[[#This Row],[LOCALIDADE]],PRODUTIVIDADES!$A:$A,0)-3)*tbAREAS[[#This Row],[ÁREA EM M²]]</f>
        <v>212.84639999999996</v>
      </c>
      <c r="L223" s="391"/>
    </row>
    <row r="224" spans="1:12" hidden="1" x14ac:dyDescent="0.25">
      <c r="A224" s="228" t="s">
        <v>2</v>
      </c>
      <c r="B224" s="263" t="s">
        <v>83</v>
      </c>
      <c r="C224" s="230" t="s">
        <v>183</v>
      </c>
      <c r="D224" s="230" t="s">
        <v>184</v>
      </c>
      <c r="E224" s="229" t="s">
        <v>18</v>
      </c>
      <c r="F224" s="231">
        <v>44.13</v>
      </c>
      <c r="G224" s="229" t="s">
        <v>1</v>
      </c>
      <c r="H224" s="405">
        <f ca="1">INDEX(PRODUTIVIDADES!$M:$M,MATCH(tbAREAS[[#This Row],[TIPO DE ÁREA]],PRODUTIVIDADES!$B:$B,0)+MATCH(tbAREAS[[#This Row],[LOCALIDADE]],PRODUTIVIDADES!$A:$A,0)-3)*tbAREAS[[#This Row],[ÁREA EM M²]]</f>
        <v>2001.2955000000002</v>
      </c>
      <c r="L224" s="391"/>
    </row>
    <row r="225" spans="1:12" hidden="1" x14ac:dyDescent="0.25">
      <c r="A225" s="228" t="s">
        <v>2</v>
      </c>
      <c r="B225" s="263" t="s">
        <v>83</v>
      </c>
      <c r="C225" s="230" t="s">
        <v>183</v>
      </c>
      <c r="D225" s="230" t="s">
        <v>184</v>
      </c>
      <c r="E225" s="229" t="s">
        <v>20</v>
      </c>
      <c r="F225" s="231">
        <v>9.3800000000000008</v>
      </c>
      <c r="G225" s="229" t="s">
        <v>1</v>
      </c>
      <c r="H225" s="405">
        <f ca="1">INDEX(PRODUTIVIDADES!$M:$M,MATCH(tbAREAS[[#This Row],[TIPO DE ÁREA]],PRODUTIVIDADES!$B:$B,0)+MATCH(tbAREAS[[#This Row],[LOCALIDADE]],PRODUTIVIDADES!$A:$A,0)-3)*tbAREAS[[#This Row],[ÁREA EM M²]]</f>
        <v>7.3164000000000007</v>
      </c>
      <c r="L225" s="391"/>
    </row>
    <row r="226" spans="1:12" hidden="1" x14ac:dyDescent="0.25">
      <c r="A226" s="228" t="s">
        <v>2</v>
      </c>
      <c r="B226" s="263" t="s">
        <v>83</v>
      </c>
      <c r="C226" s="230" t="s">
        <v>183</v>
      </c>
      <c r="D226" s="230" t="s">
        <v>184</v>
      </c>
      <c r="E226" s="229" t="s">
        <v>21</v>
      </c>
      <c r="F226" s="231">
        <v>120.5</v>
      </c>
      <c r="G226" s="229" t="s">
        <v>1</v>
      </c>
      <c r="H226" s="405">
        <f ca="1">INDEX(PRODUTIVIDADES!$M:$M,MATCH(tbAREAS[[#This Row],[TIPO DE ÁREA]],PRODUTIVIDADES!$B:$B,0)+MATCH(tbAREAS[[#This Row],[LOCALIDADE]],PRODUTIVIDADES!$A:$A,0)-3)*tbAREAS[[#This Row],[ÁREA EM M²]]</f>
        <v>20.485000000000003</v>
      </c>
      <c r="L226" s="391"/>
    </row>
    <row r="227" spans="1:12" hidden="1" x14ac:dyDescent="0.25">
      <c r="A227" s="228" t="s">
        <v>2</v>
      </c>
      <c r="B227" s="263" t="s">
        <v>83</v>
      </c>
      <c r="C227" s="230" t="s">
        <v>183</v>
      </c>
      <c r="D227" s="230" t="s">
        <v>184</v>
      </c>
      <c r="E227" s="229" t="s">
        <v>22</v>
      </c>
      <c r="F227" s="231">
        <v>120.5</v>
      </c>
      <c r="G227" s="229" t="s">
        <v>1</v>
      </c>
      <c r="H227" s="405">
        <f ca="1">INDEX(PRODUTIVIDADES!$M:$M,MATCH(tbAREAS[[#This Row],[TIPO DE ÁREA]],PRODUTIVIDADES!$B:$B,0)+MATCH(tbAREAS[[#This Row],[LOCALIDADE]],PRODUTIVIDADES!$A:$A,0)-3)*tbAREAS[[#This Row],[ÁREA EM M²]]</f>
        <v>48.2</v>
      </c>
      <c r="L227" s="391"/>
    </row>
    <row r="228" spans="1:12" hidden="1" x14ac:dyDescent="0.25">
      <c r="A228" s="228" t="s">
        <v>2</v>
      </c>
      <c r="B228" s="263" t="s">
        <v>83</v>
      </c>
      <c r="C228" s="230" t="s">
        <v>185</v>
      </c>
      <c r="D228" s="230" t="s">
        <v>186</v>
      </c>
      <c r="E228" s="229" t="s">
        <v>10</v>
      </c>
      <c r="F228" s="231">
        <v>46.48</v>
      </c>
      <c r="G228" s="229" t="s">
        <v>1</v>
      </c>
      <c r="H228" s="405">
        <f ca="1">INDEX(PRODUTIVIDADES!$M:$M,MATCH(tbAREAS[[#This Row],[TIPO DE ÁREA]],PRODUTIVIDADES!$B:$B,0)+MATCH(tbAREAS[[#This Row],[LOCALIDADE]],PRODUTIVIDADES!$A:$A,0)-3)*tbAREAS[[#This Row],[ÁREA EM M²]]</f>
        <v>145.01759999999999</v>
      </c>
      <c r="L228" s="391"/>
    </row>
    <row r="229" spans="1:12" hidden="1" x14ac:dyDescent="0.25">
      <c r="A229" s="228" t="s">
        <v>2</v>
      </c>
      <c r="B229" s="263" t="s">
        <v>83</v>
      </c>
      <c r="C229" s="230" t="s">
        <v>185</v>
      </c>
      <c r="D229" s="230" t="s">
        <v>186</v>
      </c>
      <c r="E229" s="229" t="s">
        <v>14</v>
      </c>
      <c r="F229" s="231">
        <v>103.53</v>
      </c>
      <c r="G229" s="229" t="s">
        <v>1</v>
      </c>
      <c r="H229" s="405">
        <f ca="1">INDEX(PRODUTIVIDADES!$M:$M,MATCH(tbAREAS[[#This Row],[TIPO DE ÁREA]],PRODUTIVIDADES!$B:$B,0)+MATCH(tbAREAS[[#This Row],[LOCALIDADE]],PRODUTIVIDADES!$A:$A,0)-3)*tbAREAS[[#This Row],[ÁREA EM M²]]</f>
        <v>880.005</v>
      </c>
      <c r="L229" s="391"/>
    </row>
    <row r="230" spans="1:12" hidden="1" x14ac:dyDescent="0.25">
      <c r="A230" s="228" t="s">
        <v>2</v>
      </c>
      <c r="B230" s="263" t="s">
        <v>83</v>
      </c>
      <c r="C230" s="230" t="s">
        <v>185</v>
      </c>
      <c r="D230" s="230" t="s">
        <v>186</v>
      </c>
      <c r="E230" s="229" t="s">
        <v>17</v>
      </c>
      <c r="F230" s="231">
        <v>49.21</v>
      </c>
      <c r="G230" s="229" t="s">
        <v>1</v>
      </c>
      <c r="H230" s="405">
        <f ca="1">INDEX(PRODUTIVIDADES!$M:$M,MATCH(tbAREAS[[#This Row],[TIPO DE ÁREA]],PRODUTIVIDADES!$B:$B,0)+MATCH(tbAREAS[[#This Row],[LOCALIDADE]],PRODUTIVIDADES!$A:$A,0)-3)*tbAREAS[[#This Row],[ÁREA EM M²]]</f>
        <v>115.1514</v>
      </c>
      <c r="L230" s="391"/>
    </row>
    <row r="231" spans="1:12" hidden="1" x14ac:dyDescent="0.25">
      <c r="A231" s="228" t="s">
        <v>2</v>
      </c>
      <c r="B231" s="263" t="s">
        <v>83</v>
      </c>
      <c r="C231" s="230" t="s">
        <v>185</v>
      </c>
      <c r="D231" s="230" t="s">
        <v>186</v>
      </c>
      <c r="E231" s="229" t="s">
        <v>18</v>
      </c>
      <c r="F231" s="231">
        <v>12.49</v>
      </c>
      <c r="G231" s="229" t="s">
        <v>1</v>
      </c>
      <c r="H231" s="405">
        <f ca="1">INDEX(PRODUTIVIDADES!$M:$M,MATCH(tbAREAS[[#This Row],[TIPO DE ÁREA]],PRODUTIVIDADES!$B:$B,0)+MATCH(tbAREAS[[#This Row],[LOCALIDADE]],PRODUTIVIDADES!$A:$A,0)-3)*tbAREAS[[#This Row],[ÁREA EM M²]]</f>
        <v>566.42150000000004</v>
      </c>
      <c r="L231" s="391"/>
    </row>
    <row r="232" spans="1:12" hidden="1" x14ac:dyDescent="0.25">
      <c r="A232" s="228" t="s">
        <v>2</v>
      </c>
      <c r="B232" s="263" t="s">
        <v>83</v>
      </c>
      <c r="C232" s="230" t="s">
        <v>185</v>
      </c>
      <c r="D232" s="230" t="s">
        <v>186</v>
      </c>
      <c r="E232" s="229" t="s">
        <v>20</v>
      </c>
      <c r="F232" s="231">
        <v>49.4</v>
      </c>
      <c r="G232" s="229" t="s">
        <v>1</v>
      </c>
      <c r="H232" s="405">
        <f ca="1">INDEX(PRODUTIVIDADES!$M:$M,MATCH(tbAREAS[[#This Row],[TIPO DE ÁREA]],PRODUTIVIDADES!$B:$B,0)+MATCH(tbAREAS[[#This Row],[LOCALIDADE]],PRODUTIVIDADES!$A:$A,0)-3)*tbAREAS[[#This Row],[ÁREA EM M²]]</f>
        <v>38.532000000000004</v>
      </c>
      <c r="L232" s="391"/>
    </row>
    <row r="233" spans="1:12" hidden="1" x14ac:dyDescent="0.25">
      <c r="A233" s="228" t="s">
        <v>2</v>
      </c>
      <c r="B233" s="263" t="s">
        <v>83</v>
      </c>
      <c r="C233" s="230" t="s">
        <v>185</v>
      </c>
      <c r="D233" s="230" t="s">
        <v>186</v>
      </c>
      <c r="E233" s="229" t="s">
        <v>21</v>
      </c>
      <c r="F233" s="231">
        <v>37.32</v>
      </c>
      <c r="G233" s="229" t="s">
        <v>1</v>
      </c>
      <c r="H233" s="405">
        <f ca="1">INDEX(PRODUTIVIDADES!$M:$M,MATCH(tbAREAS[[#This Row],[TIPO DE ÁREA]],PRODUTIVIDADES!$B:$B,0)+MATCH(tbAREAS[[#This Row],[LOCALIDADE]],PRODUTIVIDADES!$A:$A,0)-3)*tbAREAS[[#This Row],[ÁREA EM M²]]</f>
        <v>6.3444000000000003</v>
      </c>
      <c r="L233" s="391"/>
    </row>
    <row r="234" spans="1:12" hidden="1" x14ac:dyDescent="0.25">
      <c r="A234" s="228" t="s">
        <v>2</v>
      </c>
      <c r="B234" s="263" t="s">
        <v>83</v>
      </c>
      <c r="C234" s="230" t="s">
        <v>185</v>
      </c>
      <c r="D234" s="230" t="s">
        <v>186</v>
      </c>
      <c r="E234" s="229" t="s">
        <v>22</v>
      </c>
      <c r="F234" s="231">
        <v>37.32</v>
      </c>
      <c r="G234" s="229" t="s">
        <v>1</v>
      </c>
      <c r="H234" s="405">
        <f ca="1">INDEX(PRODUTIVIDADES!$M:$M,MATCH(tbAREAS[[#This Row],[TIPO DE ÁREA]],PRODUTIVIDADES!$B:$B,0)+MATCH(tbAREAS[[#This Row],[LOCALIDADE]],PRODUTIVIDADES!$A:$A,0)-3)*tbAREAS[[#This Row],[ÁREA EM M²]]</f>
        <v>14.928000000000001</v>
      </c>
      <c r="L234" s="391"/>
    </row>
    <row r="235" spans="1:12" hidden="1" x14ac:dyDescent="0.25">
      <c r="A235" s="228" t="s">
        <v>2</v>
      </c>
      <c r="B235" s="263" t="s">
        <v>83</v>
      </c>
      <c r="C235" s="230" t="s">
        <v>187</v>
      </c>
      <c r="D235" s="230" t="s">
        <v>188</v>
      </c>
      <c r="E235" s="229" t="s">
        <v>9</v>
      </c>
      <c r="F235" s="231">
        <v>42</v>
      </c>
      <c r="G235" s="229" t="s">
        <v>1</v>
      </c>
      <c r="H235" s="405">
        <f ca="1">INDEX(PRODUTIVIDADES!$M:$M,MATCH(tbAREAS[[#This Row],[TIPO DE ÁREA]],PRODUTIVIDADES!$B:$B,0)+MATCH(tbAREAS[[#This Row],[LOCALIDADE]],PRODUTIVIDADES!$A:$A,0)-3)*tbAREAS[[#This Row],[ÁREA EM M²]]</f>
        <v>327.59999999999997</v>
      </c>
      <c r="L235" s="391"/>
    </row>
    <row r="236" spans="1:12" hidden="1" x14ac:dyDescent="0.25">
      <c r="A236" s="228" t="s">
        <v>2</v>
      </c>
      <c r="B236" s="263" t="s">
        <v>83</v>
      </c>
      <c r="C236" s="230" t="s">
        <v>187</v>
      </c>
      <c r="D236" s="230" t="s">
        <v>188</v>
      </c>
      <c r="E236" s="229" t="s">
        <v>10</v>
      </c>
      <c r="F236" s="231">
        <v>30.49</v>
      </c>
      <c r="G236" s="229" t="s">
        <v>1</v>
      </c>
      <c r="H236" s="405">
        <f ca="1">INDEX(PRODUTIVIDADES!$M:$M,MATCH(tbAREAS[[#This Row],[TIPO DE ÁREA]],PRODUTIVIDADES!$B:$B,0)+MATCH(tbAREAS[[#This Row],[LOCALIDADE]],PRODUTIVIDADES!$A:$A,0)-3)*tbAREAS[[#This Row],[ÁREA EM M²]]</f>
        <v>95.128799999999998</v>
      </c>
      <c r="L236" s="391"/>
    </row>
    <row r="237" spans="1:12" hidden="1" x14ac:dyDescent="0.25">
      <c r="A237" s="228" t="s">
        <v>2</v>
      </c>
      <c r="B237" s="263" t="s">
        <v>83</v>
      </c>
      <c r="C237" s="230" t="s">
        <v>187</v>
      </c>
      <c r="D237" s="230" t="s">
        <v>188</v>
      </c>
      <c r="E237" s="229" t="s">
        <v>17</v>
      </c>
      <c r="F237" s="231">
        <v>17.329999999999998</v>
      </c>
      <c r="G237" s="229" t="s">
        <v>1</v>
      </c>
      <c r="H237" s="405">
        <f ca="1">INDEX(PRODUTIVIDADES!$M:$M,MATCH(tbAREAS[[#This Row],[TIPO DE ÁREA]],PRODUTIVIDADES!$B:$B,0)+MATCH(tbAREAS[[#This Row],[LOCALIDADE]],PRODUTIVIDADES!$A:$A,0)-3)*tbAREAS[[#This Row],[ÁREA EM M²]]</f>
        <v>40.552199999999992</v>
      </c>
      <c r="L237" s="391"/>
    </row>
    <row r="238" spans="1:12" hidden="1" x14ac:dyDescent="0.25">
      <c r="A238" s="228" t="s">
        <v>2</v>
      </c>
      <c r="B238" s="263" t="s">
        <v>83</v>
      </c>
      <c r="C238" s="230" t="s">
        <v>187</v>
      </c>
      <c r="D238" s="230" t="s">
        <v>188</v>
      </c>
      <c r="E238" s="229" t="s">
        <v>18</v>
      </c>
      <c r="F238" s="231">
        <v>9.3699999999999992</v>
      </c>
      <c r="G238" s="229" t="s">
        <v>1</v>
      </c>
      <c r="H238" s="405">
        <f ca="1">INDEX(PRODUTIVIDADES!$M:$M,MATCH(tbAREAS[[#This Row],[TIPO DE ÁREA]],PRODUTIVIDADES!$B:$B,0)+MATCH(tbAREAS[[#This Row],[LOCALIDADE]],PRODUTIVIDADES!$A:$A,0)-3)*tbAREAS[[#This Row],[ÁREA EM M²]]</f>
        <v>424.92949999999996</v>
      </c>
      <c r="L238" s="391"/>
    </row>
    <row r="239" spans="1:12" hidden="1" x14ac:dyDescent="0.25">
      <c r="A239" s="228" t="s">
        <v>2</v>
      </c>
      <c r="B239" s="263" t="s">
        <v>83</v>
      </c>
      <c r="C239" s="230" t="s">
        <v>187</v>
      </c>
      <c r="D239" s="230" t="s">
        <v>188</v>
      </c>
      <c r="E239" s="229" t="s">
        <v>20</v>
      </c>
      <c r="F239" s="231">
        <v>55.59</v>
      </c>
      <c r="G239" s="229" t="s">
        <v>1</v>
      </c>
      <c r="H239" s="405">
        <f ca="1">INDEX(PRODUTIVIDADES!$M:$M,MATCH(tbAREAS[[#This Row],[TIPO DE ÁREA]],PRODUTIVIDADES!$B:$B,0)+MATCH(tbAREAS[[#This Row],[LOCALIDADE]],PRODUTIVIDADES!$A:$A,0)-3)*tbAREAS[[#This Row],[ÁREA EM M²]]</f>
        <v>43.360200000000006</v>
      </c>
      <c r="L239" s="391"/>
    </row>
    <row r="240" spans="1:12" hidden="1" x14ac:dyDescent="0.25">
      <c r="A240" s="228" t="s">
        <v>2</v>
      </c>
      <c r="B240" s="263" t="s">
        <v>83</v>
      </c>
      <c r="C240" s="230" t="s">
        <v>187</v>
      </c>
      <c r="D240" s="230" t="s">
        <v>188</v>
      </c>
      <c r="E240" s="229" t="s">
        <v>21</v>
      </c>
      <c r="F240" s="231">
        <v>19.04</v>
      </c>
      <c r="G240" s="229" t="s">
        <v>1</v>
      </c>
      <c r="H240" s="405">
        <f ca="1">INDEX(PRODUTIVIDADES!$M:$M,MATCH(tbAREAS[[#This Row],[TIPO DE ÁREA]],PRODUTIVIDADES!$B:$B,0)+MATCH(tbAREAS[[#This Row],[LOCALIDADE]],PRODUTIVIDADES!$A:$A,0)-3)*tbAREAS[[#This Row],[ÁREA EM M²]]</f>
        <v>3.2368000000000001</v>
      </c>
      <c r="L240" s="391"/>
    </row>
    <row r="241" spans="1:12" hidden="1" x14ac:dyDescent="0.25">
      <c r="A241" s="228" t="s">
        <v>2</v>
      </c>
      <c r="B241" s="263" t="s">
        <v>83</v>
      </c>
      <c r="C241" s="230" t="s">
        <v>187</v>
      </c>
      <c r="D241" s="230" t="s">
        <v>188</v>
      </c>
      <c r="E241" s="229" t="s">
        <v>22</v>
      </c>
      <c r="F241" s="231">
        <v>19.04</v>
      </c>
      <c r="G241" s="229" t="s">
        <v>1</v>
      </c>
      <c r="H241" s="405">
        <f ca="1">INDEX(PRODUTIVIDADES!$M:$M,MATCH(tbAREAS[[#This Row],[TIPO DE ÁREA]],PRODUTIVIDADES!$B:$B,0)+MATCH(tbAREAS[[#This Row],[LOCALIDADE]],PRODUTIVIDADES!$A:$A,0)-3)*tbAREAS[[#This Row],[ÁREA EM M²]]</f>
        <v>7.6159999999999997</v>
      </c>
      <c r="L241" s="391"/>
    </row>
    <row r="242" spans="1:12" hidden="1" x14ac:dyDescent="0.25">
      <c r="A242" s="228" t="s">
        <v>2</v>
      </c>
      <c r="B242" s="263" t="s">
        <v>83</v>
      </c>
      <c r="C242" s="230" t="s">
        <v>189</v>
      </c>
      <c r="D242" s="230" t="s">
        <v>190</v>
      </c>
      <c r="E242" s="229" t="s">
        <v>10</v>
      </c>
      <c r="F242" s="231">
        <v>178.99</v>
      </c>
      <c r="G242" s="229" t="s">
        <v>1</v>
      </c>
      <c r="H242" s="405">
        <f ca="1">INDEX(PRODUTIVIDADES!$M:$M,MATCH(tbAREAS[[#This Row],[TIPO DE ÁREA]],PRODUTIVIDADES!$B:$B,0)+MATCH(tbAREAS[[#This Row],[LOCALIDADE]],PRODUTIVIDADES!$A:$A,0)-3)*tbAREAS[[#This Row],[ÁREA EM M²]]</f>
        <v>558.44880000000001</v>
      </c>
      <c r="L242" s="391"/>
    </row>
    <row r="243" spans="1:12" hidden="1" x14ac:dyDescent="0.25">
      <c r="A243" s="228" t="s">
        <v>2</v>
      </c>
      <c r="B243" s="263" t="s">
        <v>83</v>
      </c>
      <c r="C243" s="230" t="s">
        <v>189</v>
      </c>
      <c r="D243" s="230" t="s">
        <v>190</v>
      </c>
      <c r="E243" s="229" t="s">
        <v>14</v>
      </c>
      <c r="F243" s="231">
        <v>348.3</v>
      </c>
      <c r="G243" s="229" t="s">
        <v>1</v>
      </c>
      <c r="H243" s="405">
        <f ca="1">INDEX(PRODUTIVIDADES!$M:$M,MATCH(tbAREAS[[#This Row],[TIPO DE ÁREA]],PRODUTIVIDADES!$B:$B,0)+MATCH(tbAREAS[[#This Row],[LOCALIDADE]],PRODUTIVIDADES!$A:$A,0)-3)*tbAREAS[[#This Row],[ÁREA EM M²]]</f>
        <v>2960.55</v>
      </c>
      <c r="L243" s="391"/>
    </row>
    <row r="244" spans="1:12" hidden="1" x14ac:dyDescent="0.25">
      <c r="A244" s="228" t="s">
        <v>2</v>
      </c>
      <c r="B244" s="263" t="s">
        <v>83</v>
      </c>
      <c r="C244" s="230" t="s">
        <v>189</v>
      </c>
      <c r="D244" s="230" t="s">
        <v>190</v>
      </c>
      <c r="E244" s="229" t="s">
        <v>17</v>
      </c>
      <c r="F244" s="231">
        <v>206.59</v>
      </c>
      <c r="G244" s="229" t="s">
        <v>1</v>
      </c>
      <c r="H244" s="405">
        <f ca="1">INDEX(PRODUTIVIDADES!$M:$M,MATCH(tbAREAS[[#This Row],[TIPO DE ÁREA]],PRODUTIVIDADES!$B:$B,0)+MATCH(tbAREAS[[#This Row],[LOCALIDADE]],PRODUTIVIDADES!$A:$A,0)-3)*tbAREAS[[#This Row],[ÁREA EM M²]]</f>
        <v>483.42059999999998</v>
      </c>
      <c r="L244" s="391"/>
    </row>
    <row r="245" spans="1:12" hidden="1" x14ac:dyDescent="0.25">
      <c r="A245" s="228" t="s">
        <v>2</v>
      </c>
      <c r="B245" s="263" t="s">
        <v>83</v>
      </c>
      <c r="C245" s="230" t="s">
        <v>189</v>
      </c>
      <c r="D245" s="230" t="s">
        <v>190</v>
      </c>
      <c r="E245" s="229" t="s">
        <v>18</v>
      </c>
      <c r="F245" s="231">
        <v>25.68</v>
      </c>
      <c r="G245" s="229" t="s">
        <v>1</v>
      </c>
      <c r="H245" s="405">
        <f ca="1">INDEX(PRODUTIVIDADES!$M:$M,MATCH(tbAREAS[[#This Row],[TIPO DE ÁREA]],PRODUTIVIDADES!$B:$B,0)+MATCH(tbAREAS[[#This Row],[LOCALIDADE]],PRODUTIVIDADES!$A:$A,0)-3)*tbAREAS[[#This Row],[ÁREA EM M²]]</f>
        <v>1164.588</v>
      </c>
      <c r="L245" s="391"/>
    </row>
    <row r="246" spans="1:12" hidden="1" x14ac:dyDescent="0.25">
      <c r="A246" s="228" t="s">
        <v>2</v>
      </c>
      <c r="B246" s="263" t="s">
        <v>83</v>
      </c>
      <c r="C246" s="230" t="s">
        <v>189</v>
      </c>
      <c r="D246" s="230" t="s">
        <v>190</v>
      </c>
      <c r="E246" s="229" t="s">
        <v>20</v>
      </c>
      <c r="F246" s="231">
        <v>27.95</v>
      </c>
      <c r="G246" s="229" t="s">
        <v>1</v>
      </c>
      <c r="H246" s="405">
        <f ca="1">INDEX(PRODUTIVIDADES!$M:$M,MATCH(tbAREAS[[#This Row],[TIPO DE ÁREA]],PRODUTIVIDADES!$B:$B,0)+MATCH(tbAREAS[[#This Row],[LOCALIDADE]],PRODUTIVIDADES!$A:$A,0)-3)*tbAREAS[[#This Row],[ÁREA EM M²]]</f>
        <v>21.801000000000002</v>
      </c>
      <c r="L246" s="391"/>
    </row>
    <row r="247" spans="1:12" hidden="1" x14ac:dyDescent="0.25">
      <c r="A247" s="228" t="s">
        <v>2</v>
      </c>
      <c r="B247" s="263" t="s">
        <v>83</v>
      </c>
      <c r="C247" s="230" t="s">
        <v>189</v>
      </c>
      <c r="D247" s="230" t="s">
        <v>190</v>
      </c>
      <c r="E247" s="229" t="s">
        <v>21</v>
      </c>
      <c r="F247" s="231">
        <v>158.72999999999999</v>
      </c>
      <c r="G247" s="229" t="s">
        <v>1</v>
      </c>
      <c r="H247" s="405">
        <f ca="1">INDEX(PRODUTIVIDADES!$M:$M,MATCH(tbAREAS[[#This Row],[TIPO DE ÁREA]],PRODUTIVIDADES!$B:$B,0)+MATCH(tbAREAS[[#This Row],[LOCALIDADE]],PRODUTIVIDADES!$A:$A,0)-3)*tbAREAS[[#This Row],[ÁREA EM M²]]</f>
        <v>26.984100000000002</v>
      </c>
      <c r="L247" s="391"/>
    </row>
    <row r="248" spans="1:12" hidden="1" x14ac:dyDescent="0.25">
      <c r="A248" s="228" t="s">
        <v>2</v>
      </c>
      <c r="B248" s="263" t="s">
        <v>83</v>
      </c>
      <c r="C248" s="230" t="s">
        <v>189</v>
      </c>
      <c r="D248" s="230" t="s">
        <v>190</v>
      </c>
      <c r="E248" s="229" t="s">
        <v>22</v>
      </c>
      <c r="F248" s="231">
        <v>158.72999999999999</v>
      </c>
      <c r="G248" s="229" t="s">
        <v>1</v>
      </c>
      <c r="H248" s="405">
        <f ca="1">INDEX(PRODUTIVIDADES!$M:$M,MATCH(tbAREAS[[#This Row],[TIPO DE ÁREA]],PRODUTIVIDADES!$B:$B,0)+MATCH(tbAREAS[[#This Row],[LOCALIDADE]],PRODUTIVIDADES!$A:$A,0)-3)*tbAREAS[[#This Row],[ÁREA EM M²]]</f>
        <v>63.491999999999997</v>
      </c>
      <c r="L248" s="391"/>
    </row>
    <row r="249" spans="1:12" hidden="1" x14ac:dyDescent="0.25">
      <c r="A249" s="228" t="s">
        <v>2</v>
      </c>
      <c r="B249" s="263" t="s">
        <v>83</v>
      </c>
      <c r="C249" s="230" t="s">
        <v>191</v>
      </c>
      <c r="D249" s="230" t="s">
        <v>192</v>
      </c>
      <c r="E249" s="229" t="s">
        <v>9</v>
      </c>
      <c r="F249" s="231">
        <v>47.14</v>
      </c>
      <c r="G249" s="229" t="s">
        <v>1</v>
      </c>
      <c r="H249" s="405">
        <f ca="1">INDEX(PRODUTIVIDADES!$M:$M,MATCH(tbAREAS[[#This Row],[TIPO DE ÁREA]],PRODUTIVIDADES!$B:$B,0)+MATCH(tbAREAS[[#This Row],[LOCALIDADE]],PRODUTIVIDADES!$A:$A,0)-3)*tbAREAS[[#This Row],[ÁREA EM M²]]</f>
        <v>367.69200000000001</v>
      </c>
      <c r="L249" s="391"/>
    </row>
    <row r="250" spans="1:12" hidden="1" x14ac:dyDescent="0.25">
      <c r="A250" s="228" t="s">
        <v>2</v>
      </c>
      <c r="B250" s="263" t="s">
        <v>83</v>
      </c>
      <c r="C250" s="230" t="s">
        <v>191</v>
      </c>
      <c r="D250" s="230" t="s">
        <v>192</v>
      </c>
      <c r="E250" s="229" t="s">
        <v>10</v>
      </c>
      <c r="F250" s="231">
        <v>80.02</v>
      </c>
      <c r="G250" s="229" t="s">
        <v>1</v>
      </c>
      <c r="H250" s="405">
        <f ca="1">INDEX(PRODUTIVIDADES!$M:$M,MATCH(tbAREAS[[#This Row],[TIPO DE ÁREA]],PRODUTIVIDADES!$B:$B,0)+MATCH(tbAREAS[[#This Row],[LOCALIDADE]],PRODUTIVIDADES!$A:$A,0)-3)*tbAREAS[[#This Row],[ÁREA EM M²]]</f>
        <v>249.66239999999999</v>
      </c>
      <c r="L250" s="391"/>
    </row>
    <row r="251" spans="1:12" hidden="1" x14ac:dyDescent="0.25">
      <c r="A251" s="228" t="s">
        <v>2</v>
      </c>
      <c r="B251" s="263" t="s">
        <v>83</v>
      </c>
      <c r="C251" s="230" t="s">
        <v>191</v>
      </c>
      <c r="D251" s="230" t="s">
        <v>192</v>
      </c>
      <c r="E251" s="229" t="s">
        <v>14</v>
      </c>
      <c r="F251" s="231">
        <v>283.98</v>
      </c>
      <c r="G251" s="229" t="s">
        <v>1</v>
      </c>
      <c r="H251" s="405">
        <f ca="1">INDEX(PRODUTIVIDADES!$M:$M,MATCH(tbAREAS[[#This Row],[TIPO DE ÁREA]],PRODUTIVIDADES!$B:$B,0)+MATCH(tbAREAS[[#This Row],[LOCALIDADE]],PRODUTIVIDADES!$A:$A,0)-3)*tbAREAS[[#This Row],[ÁREA EM M²]]</f>
        <v>2413.83</v>
      </c>
      <c r="L251" s="391"/>
    </row>
    <row r="252" spans="1:12" hidden="1" x14ac:dyDescent="0.25">
      <c r="A252" s="228" t="s">
        <v>2</v>
      </c>
      <c r="B252" s="263" t="s">
        <v>83</v>
      </c>
      <c r="C252" s="230" t="s">
        <v>191</v>
      </c>
      <c r="D252" s="230" t="s">
        <v>192</v>
      </c>
      <c r="E252" s="229" t="s">
        <v>17</v>
      </c>
      <c r="F252" s="231">
        <v>150.83000000000001</v>
      </c>
      <c r="G252" s="229" t="s">
        <v>1</v>
      </c>
      <c r="H252" s="405">
        <f ca="1">INDEX(PRODUTIVIDADES!$M:$M,MATCH(tbAREAS[[#This Row],[TIPO DE ÁREA]],PRODUTIVIDADES!$B:$B,0)+MATCH(tbAREAS[[#This Row],[LOCALIDADE]],PRODUTIVIDADES!$A:$A,0)-3)*tbAREAS[[#This Row],[ÁREA EM M²]]</f>
        <v>352.94220000000001</v>
      </c>
      <c r="L252" s="391"/>
    </row>
    <row r="253" spans="1:12" hidden="1" x14ac:dyDescent="0.25">
      <c r="A253" s="228" t="s">
        <v>2</v>
      </c>
      <c r="B253" s="263" t="s">
        <v>83</v>
      </c>
      <c r="C253" s="230" t="s">
        <v>191</v>
      </c>
      <c r="D253" s="230" t="s">
        <v>192</v>
      </c>
      <c r="E253" s="229" t="s">
        <v>18</v>
      </c>
      <c r="F253" s="231">
        <v>38.21</v>
      </c>
      <c r="G253" s="229" t="s">
        <v>1</v>
      </c>
      <c r="H253" s="405">
        <f ca="1">INDEX(PRODUTIVIDADES!$M:$M,MATCH(tbAREAS[[#This Row],[TIPO DE ÁREA]],PRODUTIVIDADES!$B:$B,0)+MATCH(tbAREAS[[#This Row],[LOCALIDADE]],PRODUTIVIDADES!$A:$A,0)-3)*tbAREAS[[#This Row],[ÁREA EM M²]]</f>
        <v>1732.8235000000002</v>
      </c>
      <c r="L253" s="391"/>
    </row>
    <row r="254" spans="1:12" hidden="1" x14ac:dyDescent="0.25">
      <c r="A254" s="228" t="s">
        <v>2</v>
      </c>
      <c r="B254" s="263" t="s">
        <v>83</v>
      </c>
      <c r="C254" s="230" t="s">
        <v>191</v>
      </c>
      <c r="D254" s="230" t="s">
        <v>192</v>
      </c>
      <c r="E254" s="229" t="s">
        <v>21</v>
      </c>
      <c r="F254" s="231">
        <v>144.94999999999999</v>
      </c>
      <c r="G254" s="229" t="s">
        <v>1</v>
      </c>
      <c r="H254" s="405">
        <f ca="1">INDEX(PRODUTIVIDADES!$M:$M,MATCH(tbAREAS[[#This Row],[TIPO DE ÁREA]],PRODUTIVIDADES!$B:$B,0)+MATCH(tbAREAS[[#This Row],[LOCALIDADE]],PRODUTIVIDADES!$A:$A,0)-3)*tbAREAS[[#This Row],[ÁREA EM M²]]</f>
        <v>24.641500000000001</v>
      </c>
      <c r="L254" s="391"/>
    </row>
    <row r="255" spans="1:12" hidden="1" x14ac:dyDescent="0.25">
      <c r="A255" s="228" t="s">
        <v>2</v>
      </c>
      <c r="B255" s="263" t="s">
        <v>83</v>
      </c>
      <c r="C255" s="230" t="s">
        <v>191</v>
      </c>
      <c r="D255" s="230" t="s">
        <v>192</v>
      </c>
      <c r="E255" s="229" t="s">
        <v>22</v>
      </c>
      <c r="F255" s="231">
        <v>144.94999999999999</v>
      </c>
      <c r="G255" s="229" t="s">
        <v>1</v>
      </c>
      <c r="H255" s="405">
        <f ca="1">INDEX(PRODUTIVIDADES!$M:$M,MATCH(tbAREAS[[#This Row],[TIPO DE ÁREA]],PRODUTIVIDADES!$B:$B,0)+MATCH(tbAREAS[[#This Row],[LOCALIDADE]],PRODUTIVIDADES!$A:$A,0)-3)*tbAREAS[[#This Row],[ÁREA EM M²]]</f>
        <v>57.98</v>
      </c>
      <c r="L255" s="391"/>
    </row>
    <row r="256" spans="1:12" hidden="1" x14ac:dyDescent="0.25">
      <c r="A256" s="228" t="s">
        <v>2</v>
      </c>
      <c r="B256" s="263" t="s">
        <v>83</v>
      </c>
      <c r="C256" s="230" t="s">
        <v>193</v>
      </c>
      <c r="D256" s="230" t="s">
        <v>194</v>
      </c>
      <c r="E256" s="229" t="s">
        <v>10</v>
      </c>
      <c r="F256" s="231">
        <v>22.7</v>
      </c>
      <c r="G256" s="229" t="s">
        <v>1</v>
      </c>
      <c r="H256" s="405">
        <f ca="1">INDEX(PRODUTIVIDADES!$M:$M,MATCH(tbAREAS[[#This Row],[TIPO DE ÁREA]],PRODUTIVIDADES!$B:$B,0)+MATCH(tbAREAS[[#This Row],[LOCALIDADE]],PRODUTIVIDADES!$A:$A,0)-3)*tbAREAS[[#This Row],[ÁREA EM M²]]</f>
        <v>70.823999999999998</v>
      </c>
      <c r="L256" s="391"/>
    </row>
    <row r="257" spans="1:12" hidden="1" x14ac:dyDescent="0.25">
      <c r="A257" s="228" t="s">
        <v>2</v>
      </c>
      <c r="B257" s="263" t="s">
        <v>83</v>
      </c>
      <c r="C257" s="230" t="s">
        <v>193</v>
      </c>
      <c r="D257" s="230" t="s">
        <v>194</v>
      </c>
      <c r="E257" s="229" t="s">
        <v>14</v>
      </c>
      <c r="F257" s="231">
        <v>60.4</v>
      </c>
      <c r="G257" s="229" t="s">
        <v>1</v>
      </c>
      <c r="H257" s="405">
        <f ca="1">INDEX(PRODUTIVIDADES!$M:$M,MATCH(tbAREAS[[#This Row],[TIPO DE ÁREA]],PRODUTIVIDADES!$B:$B,0)+MATCH(tbAREAS[[#This Row],[LOCALIDADE]],PRODUTIVIDADES!$A:$A,0)-3)*tbAREAS[[#This Row],[ÁREA EM M²]]</f>
        <v>513.4</v>
      </c>
      <c r="L257" s="391"/>
    </row>
    <row r="258" spans="1:12" hidden="1" x14ac:dyDescent="0.25">
      <c r="A258" s="228" t="s">
        <v>2</v>
      </c>
      <c r="B258" s="263" t="s">
        <v>83</v>
      </c>
      <c r="C258" s="230" t="s">
        <v>193</v>
      </c>
      <c r="D258" s="230" t="s">
        <v>194</v>
      </c>
      <c r="E258" s="229" t="s">
        <v>15</v>
      </c>
      <c r="F258" s="231">
        <v>5.6</v>
      </c>
      <c r="G258" s="229" t="s">
        <v>1</v>
      </c>
      <c r="H258" s="405">
        <f ca="1">INDEX(PRODUTIVIDADES!$M:$M,MATCH(tbAREAS[[#This Row],[TIPO DE ÁREA]],PRODUTIVIDADES!$B:$B,0)+MATCH(tbAREAS[[#This Row],[LOCALIDADE]],PRODUTIVIDADES!$A:$A,0)-3)*tbAREAS[[#This Row],[ÁREA EM M²]]</f>
        <v>3.8639999999999994</v>
      </c>
      <c r="L258" s="391"/>
    </row>
    <row r="259" spans="1:12" hidden="1" x14ac:dyDescent="0.25">
      <c r="A259" s="228" t="s">
        <v>2</v>
      </c>
      <c r="B259" s="263" t="s">
        <v>83</v>
      </c>
      <c r="C259" s="230" t="s">
        <v>193</v>
      </c>
      <c r="D259" s="230" t="s">
        <v>194</v>
      </c>
      <c r="E259" s="229" t="s">
        <v>18</v>
      </c>
      <c r="F259" s="231">
        <v>9.6</v>
      </c>
      <c r="G259" s="229" t="s">
        <v>1</v>
      </c>
      <c r="H259" s="405">
        <f ca="1">INDEX(PRODUTIVIDADES!$M:$M,MATCH(tbAREAS[[#This Row],[TIPO DE ÁREA]],PRODUTIVIDADES!$B:$B,0)+MATCH(tbAREAS[[#This Row],[LOCALIDADE]],PRODUTIVIDADES!$A:$A,0)-3)*tbAREAS[[#This Row],[ÁREA EM M²]]</f>
        <v>435.36</v>
      </c>
      <c r="L259" s="391"/>
    </row>
    <row r="260" spans="1:12" hidden="1" x14ac:dyDescent="0.25">
      <c r="A260" s="228" t="s">
        <v>2</v>
      </c>
      <c r="B260" s="263" t="s">
        <v>83</v>
      </c>
      <c r="C260" s="230" t="s">
        <v>193</v>
      </c>
      <c r="D260" s="230" t="s">
        <v>194</v>
      </c>
      <c r="E260" s="229" t="s">
        <v>20</v>
      </c>
      <c r="F260" s="231">
        <v>8.8000000000000007</v>
      </c>
      <c r="G260" s="229" t="s">
        <v>1</v>
      </c>
      <c r="H260" s="405">
        <f ca="1">INDEX(PRODUTIVIDADES!$M:$M,MATCH(tbAREAS[[#This Row],[TIPO DE ÁREA]],PRODUTIVIDADES!$B:$B,0)+MATCH(tbAREAS[[#This Row],[LOCALIDADE]],PRODUTIVIDADES!$A:$A,0)-3)*tbAREAS[[#This Row],[ÁREA EM M²]]</f>
        <v>6.8640000000000008</v>
      </c>
      <c r="L260" s="391"/>
    </row>
    <row r="261" spans="1:12" hidden="1" x14ac:dyDescent="0.25">
      <c r="A261" s="228" t="s">
        <v>2</v>
      </c>
      <c r="B261" s="263" t="s">
        <v>83</v>
      </c>
      <c r="C261" s="230" t="s">
        <v>193</v>
      </c>
      <c r="D261" s="230" t="s">
        <v>194</v>
      </c>
      <c r="E261" s="229" t="s">
        <v>21</v>
      </c>
      <c r="F261" s="231">
        <v>25.2</v>
      </c>
      <c r="G261" s="229" t="s">
        <v>1</v>
      </c>
      <c r="H261" s="405">
        <f ca="1">INDEX(PRODUTIVIDADES!$M:$M,MATCH(tbAREAS[[#This Row],[TIPO DE ÁREA]],PRODUTIVIDADES!$B:$B,0)+MATCH(tbAREAS[[#This Row],[LOCALIDADE]],PRODUTIVIDADES!$A:$A,0)-3)*tbAREAS[[#This Row],[ÁREA EM M²]]</f>
        <v>4.2839999999999998</v>
      </c>
      <c r="L261" s="391"/>
    </row>
    <row r="262" spans="1:12" hidden="1" x14ac:dyDescent="0.25">
      <c r="A262" s="228" t="s">
        <v>2</v>
      </c>
      <c r="B262" s="263" t="s">
        <v>83</v>
      </c>
      <c r="C262" s="230" t="s">
        <v>193</v>
      </c>
      <c r="D262" s="230" t="s">
        <v>194</v>
      </c>
      <c r="E262" s="229" t="s">
        <v>22</v>
      </c>
      <c r="F262" s="231">
        <v>25.2</v>
      </c>
      <c r="G262" s="229" t="s">
        <v>1</v>
      </c>
      <c r="H262" s="405">
        <f ca="1">INDEX(PRODUTIVIDADES!$M:$M,MATCH(tbAREAS[[#This Row],[TIPO DE ÁREA]],PRODUTIVIDADES!$B:$B,0)+MATCH(tbAREAS[[#This Row],[LOCALIDADE]],PRODUTIVIDADES!$A:$A,0)-3)*tbAREAS[[#This Row],[ÁREA EM M²]]</f>
        <v>10.08</v>
      </c>
      <c r="L262" s="391"/>
    </row>
    <row r="263" spans="1:12" hidden="1" x14ac:dyDescent="0.25">
      <c r="A263" s="228" t="s">
        <v>2</v>
      </c>
      <c r="B263" s="263" t="s">
        <v>83</v>
      </c>
      <c r="C263" s="230" t="s">
        <v>195</v>
      </c>
      <c r="D263" s="230" t="s">
        <v>196</v>
      </c>
      <c r="E263" s="229" t="s">
        <v>10</v>
      </c>
      <c r="F263" s="231">
        <v>92.08</v>
      </c>
      <c r="G263" s="229" t="s">
        <v>1</v>
      </c>
      <c r="H263" s="405">
        <f ca="1">INDEX(PRODUTIVIDADES!$M:$M,MATCH(tbAREAS[[#This Row],[TIPO DE ÁREA]],PRODUTIVIDADES!$B:$B,0)+MATCH(tbAREAS[[#This Row],[LOCALIDADE]],PRODUTIVIDADES!$A:$A,0)-3)*tbAREAS[[#This Row],[ÁREA EM M²]]</f>
        <v>287.28960000000001</v>
      </c>
      <c r="L263" s="391"/>
    </row>
    <row r="264" spans="1:12" hidden="1" x14ac:dyDescent="0.25">
      <c r="A264" s="228" t="s">
        <v>2</v>
      </c>
      <c r="B264" s="263" t="s">
        <v>83</v>
      </c>
      <c r="C264" s="230" t="s">
        <v>195</v>
      </c>
      <c r="D264" s="230" t="s">
        <v>196</v>
      </c>
      <c r="E264" s="229" t="s">
        <v>14</v>
      </c>
      <c r="F264" s="231">
        <v>205.79</v>
      </c>
      <c r="G264" s="229" t="s">
        <v>1</v>
      </c>
      <c r="H264" s="405">
        <f ca="1">INDEX(PRODUTIVIDADES!$M:$M,MATCH(tbAREAS[[#This Row],[TIPO DE ÁREA]],PRODUTIVIDADES!$B:$B,0)+MATCH(tbAREAS[[#This Row],[LOCALIDADE]],PRODUTIVIDADES!$A:$A,0)-3)*tbAREAS[[#This Row],[ÁREA EM M²]]</f>
        <v>1749.2149999999999</v>
      </c>
      <c r="L264" s="391"/>
    </row>
    <row r="265" spans="1:12" hidden="1" x14ac:dyDescent="0.25">
      <c r="A265" s="228" t="s">
        <v>2</v>
      </c>
      <c r="B265" s="263" t="s">
        <v>83</v>
      </c>
      <c r="C265" s="230" t="s">
        <v>195</v>
      </c>
      <c r="D265" s="230" t="s">
        <v>196</v>
      </c>
      <c r="E265" s="229" t="s">
        <v>17</v>
      </c>
      <c r="F265" s="231">
        <v>79.09</v>
      </c>
      <c r="G265" s="229" t="s">
        <v>1</v>
      </c>
      <c r="H265" s="405">
        <f ca="1">INDEX(PRODUTIVIDADES!$M:$M,MATCH(tbAREAS[[#This Row],[TIPO DE ÁREA]],PRODUTIVIDADES!$B:$B,0)+MATCH(tbAREAS[[#This Row],[LOCALIDADE]],PRODUTIVIDADES!$A:$A,0)-3)*tbAREAS[[#This Row],[ÁREA EM M²]]</f>
        <v>185.07059999999998</v>
      </c>
      <c r="L265" s="391"/>
    </row>
    <row r="266" spans="1:12" hidden="1" x14ac:dyDescent="0.25">
      <c r="A266" s="228" t="s">
        <v>2</v>
      </c>
      <c r="B266" s="263" t="s">
        <v>83</v>
      </c>
      <c r="C266" s="230" t="s">
        <v>195</v>
      </c>
      <c r="D266" s="230" t="s">
        <v>196</v>
      </c>
      <c r="E266" s="229" t="s">
        <v>18</v>
      </c>
      <c r="F266" s="231">
        <v>6.27</v>
      </c>
      <c r="G266" s="229" t="s">
        <v>1</v>
      </c>
      <c r="H266" s="405">
        <f ca="1">INDEX(PRODUTIVIDADES!$M:$M,MATCH(tbAREAS[[#This Row],[TIPO DE ÁREA]],PRODUTIVIDADES!$B:$B,0)+MATCH(tbAREAS[[#This Row],[LOCALIDADE]],PRODUTIVIDADES!$A:$A,0)-3)*tbAREAS[[#This Row],[ÁREA EM M²]]</f>
        <v>284.34449999999998</v>
      </c>
      <c r="L266" s="391"/>
    </row>
    <row r="267" spans="1:12" hidden="1" x14ac:dyDescent="0.25">
      <c r="A267" s="228" t="s">
        <v>2</v>
      </c>
      <c r="B267" s="263" t="s">
        <v>83</v>
      </c>
      <c r="C267" s="230" t="s">
        <v>195</v>
      </c>
      <c r="D267" s="230" t="s">
        <v>196</v>
      </c>
      <c r="E267" s="229" t="s">
        <v>20</v>
      </c>
      <c r="F267" s="231">
        <v>14.65</v>
      </c>
      <c r="G267" s="229" t="s">
        <v>1</v>
      </c>
      <c r="H267" s="405">
        <f ca="1">INDEX(PRODUTIVIDADES!$M:$M,MATCH(tbAREAS[[#This Row],[TIPO DE ÁREA]],PRODUTIVIDADES!$B:$B,0)+MATCH(tbAREAS[[#This Row],[LOCALIDADE]],PRODUTIVIDADES!$A:$A,0)-3)*tbAREAS[[#This Row],[ÁREA EM M²]]</f>
        <v>11.427000000000001</v>
      </c>
      <c r="L267" s="391"/>
    </row>
    <row r="268" spans="1:12" hidden="1" x14ac:dyDescent="0.25">
      <c r="A268" s="228" t="s">
        <v>2</v>
      </c>
      <c r="B268" s="263" t="s">
        <v>83</v>
      </c>
      <c r="C268" s="230" t="s">
        <v>195</v>
      </c>
      <c r="D268" s="230" t="s">
        <v>196</v>
      </c>
      <c r="E268" s="229" t="s">
        <v>21</v>
      </c>
      <c r="F268" s="231">
        <v>88.93</v>
      </c>
      <c r="G268" s="229" t="s">
        <v>1</v>
      </c>
      <c r="H268" s="405">
        <f ca="1">INDEX(PRODUTIVIDADES!$M:$M,MATCH(tbAREAS[[#This Row],[TIPO DE ÁREA]],PRODUTIVIDADES!$B:$B,0)+MATCH(tbAREAS[[#This Row],[LOCALIDADE]],PRODUTIVIDADES!$A:$A,0)-3)*tbAREAS[[#This Row],[ÁREA EM M²]]</f>
        <v>15.118100000000002</v>
      </c>
      <c r="L268" s="391"/>
    </row>
    <row r="269" spans="1:12" hidden="1" x14ac:dyDescent="0.25">
      <c r="A269" s="228" t="s">
        <v>2</v>
      </c>
      <c r="B269" s="263" t="s">
        <v>83</v>
      </c>
      <c r="C269" s="230" t="s">
        <v>195</v>
      </c>
      <c r="D269" s="230" t="s">
        <v>196</v>
      </c>
      <c r="E269" s="229" t="s">
        <v>22</v>
      </c>
      <c r="F269" s="231">
        <v>88.93</v>
      </c>
      <c r="G269" s="229" t="s">
        <v>1</v>
      </c>
      <c r="H269" s="405">
        <f ca="1">INDEX(PRODUTIVIDADES!$M:$M,MATCH(tbAREAS[[#This Row],[TIPO DE ÁREA]],PRODUTIVIDADES!$B:$B,0)+MATCH(tbAREAS[[#This Row],[LOCALIDADE]],PRODUTIVIDADES!$A:$A,0)-3)*tbAREAS[[#This Row],[ÁREA EM M²]]</f>
        <v>35.572000000000003</v>
      </c>
      <c r="L269" s="391"/>
    </row>
    <row r="270" spans="1:12" hidden="1" x14ac:dyDescent="0.25">
      <c r="A270" s="228" t="s">
        <v>2</v>
      </c>
      <c r="B270" s="263" t="s">
        <v>83</v>
      </c>
      <c r="C270" s="230" t="s">
        <v>197</v>
      </c>
      <c r="D270" s="230" t="s">
        <v>198</v>
      </c>
      <c r="E270" s="229" t="s">
        <v>9</v>
      </c>
      <c r="F270" s="231">
        <v>159.18</v>
      </c>
      <c r="G270" s="229" t="s">
        <v>1</v>
      </c>
      <c r="H270" s="405">
        <f ca="1">INDEX(PRODUTIVIDADES!$M:$M,MATCH(tbAREAS[[#This Row],[TIPO DE ÁREA]],PRODUTIVIDADES!$B:$B,0)+MATCH(tbAREAS[[#This Row],[LOCALIDADE]],PRODUTIVIDADES!$A:$A,0)-3)*tbAREAS[[#This Row],[ÁREA EM M²]]</f>
        <v>1241.604</v>
      </c>
      <c r="L270" s="391"/>
    </row>
    <row r="271" spans="1:12" hidden="1" x14ac:dyDescent="0.25">
      <c r="A271" s="228" t="s">
        <v>2</v>
      </c>
      <c r="B271" s="263" t="s">
        <v>83</v>
      </c>
      <c r="C271" s="230" t="s">
        <v>197</v>
      </c>
      <c r="D271" s="230" t="s">
        <v>198</v>
      </c>
      <c r="E271" s="229" t="s">
        <v>10</v>
      </c>
      <c r="F271" s="231">
        <v>128.9</v>
      </c>
      <c r="G271" s="229" t="s">
        <v>1</v>
      </c>
      <c r="H271" s="405">
        <f ca="1">INDEX(PRODUTIVIDADES!$M:$M,MATCH(tbAREAS[[#This Row],[TIPO DE ÁREA]],PRODUTIVIDADES!$B:$B,0)+MATCH(tbAREAS[[#This Row],[LOCALIDADE]],PRODUTIVIDADES!$A:$A,0)-3)*tbAREAS[[#This Row],[ÁREA EM M²]]</f>
        <v>402.16800000000001</v>
      </c>
      <c r="L271" s="391"/>
    </row>
    <row r="272" spans="1:12" hidden="1" x14ac:dyDescent="0.25">
      <c r="A272" s="228" t="s">
        <v>2</v>
      </c>
      <c r="B272" s="263" t="s">
        <v>83</v>
      </c>
      <c r="C272" s="230" t="s">
        <v>197</v>
      </c>
      <c r="D272" s="230" t="s">
        <v>198</v>
      </c>
      <c r="E272" s="229" t="s">
        <v>14</v>
      </c>
      <c r="F272" s="231">
        <v>304.11</v>
      </c>
      <c r="G272" s="229" t="s">
        <v>1</v>
      </c>
      <c r="H272" s="405">
        <f ca="1">INDEX(PRODUTIVIDADES!$M:$M,MATCH(tbAREAS[[#This Row],[TIPO DE ÁREA]],PRODUTIVIDADES!$B:$B,0)+MATCH(tbAREAS[[#This Row],[LOCALIDADE]],PRODUTIVIDADES!$A:$A,0)-3)*tbAREAS[[#This Row],[ÁREA EM M²]]</f>
        <v>2584.9349999999999</v>
      </c>
      <c r="L272" s="391"/>
    </row>
    <row r="273" spans="1:12" hidden="1" x14ac:dyDescent="0.25">
      <c r="A273" s="228" t="s">
        <v>2</v>
      </c>
      <c r="B273" s="263" t="s">
        <v>83</v>
      </c>
      <c r="C273" s="230" t="s">
        <v>197</v>
      </c>
      <c r="D273" s="230" t="s">
        <v>198</v>
      </c>
      <c r="E273" s="229" t="s">
        <v>17</v>
      </c>
      <c r="F273" s="231">
        <v>322.39999999999998</v>
      </c>
      <c r="G273" s="229" t="s">
        <v>1</v>
      </c>
      <c r="H273" s="405">
        <f ca="1">INDEX(PRODUTIVIDADES!$M:$M,MATCH(tbAREAS[[#This Row],[TIPO DE ÁREA]],PRODUTIVIDADES!$B:$B,0)+MATCH(tbAREAS[[#This Row],[LOCALIDADE]],PRODUTIVIDADES!$A:$A,0)-3)*tbAREAS[[#This Row],[ÁREA EM M²]]</f>
        <v>754.41599999999994</v>
      </c>
      <c r="L273" s="391"/>
    </row>
    <row r="274" spans="1:12" hidden="1" x14ac:dyDescent="0.25">
      <c r="A274" s="228" t="s">
        <v>2</v>
      </c>
      <c r="B274" s="263" t="s">
        <v>83</v>
      </c>
      <c r="C274" s="230" t="s">
        <v>197</v>
      </c>
      <c r="D274" s="230" t="s">
        <v>198</v>
      </c>
      <c r="E274" s="229" t="s">
        <v>18</v>
      </c>
      <c r="F274" s="231">
        <v>64.06</v>
      </c>
      <c r="G274" s="229" t="s">
        <v>1</v>
      </c>
      <c r="H274" s="405">
        <f ca="1">INDEX(PRODUTIVIDADES!$M:$M,MATCH(tbAREAS[[#This Row],[TIPO DE ÁREA]],PRODUTIVIDADES!$B:$B,0)+MATCH(tbAREAS[[#This Row],[LOCALIDADE]],PRODUTIVIDADES!$A:$A,0)-3)*tbAREAS[[#This Row],[ÁREA EM M²]]</f>
        <v>2905.1210000000001</v>
      </c>
      <c r="L274" s="391"/>
    </row>
    <row r="275" spans="1:12" hidden="1" x14ac:dyDescent="0.25">
      <c r="A275" s="228" t="s">
        <v>2</v>
      </c>
      <c r="B275" s="263" t="s">
        <v>83</v>
      </c>
      <c r="C275" s="230" t="s">
        <v>197</v>
      </c>
      <c r="D275" s="230" t="s">
        <v>198</v>
      </c>
      <c r="E275" s="229" t="s">
        <v>21</v>
      </c>
      <c r="F275" s="231">
        <v>277.94</v>
      </c>
      <c r="G275" s="229" t="s">
        <v>1</v>
      </c>
      <c r="H275" s="405">
        <f ca="1">INDEX(PRODUTIVIDADES!$M:$M,MATCH(tbAREAS[[#This Row],[TIPO DE ÁREA]],PRODUTIVIDADES!$B:$B,0)+MATCH(tbAREAS[[#This Row],[LOCALIDADE]],PRODUTIVIDADES!$A:$A,0)-3)*tbAREAS[[#This Row],[ÁREA EM M²]]</f>
        <v>47.2498</v>
      </c>
      <c r="L275" s="391"/>
    </row>
    <row r="276" spans="1:12" hidden="1" x14ac:dyDescent="0.25">
      <c r="A276" s="228" t="s">
        <v>2</v>
      </c>
      <c r="B276" s="263" t="s">
        <v>83</v>
      </c>
      <c r="C276" s="230" t="s">
        <v>197</v>
      </c>
      <c r="D276" s="230" t="s">
        <v>198</v>
      </c>
      <c r="E276" s="229" t="s">
        <v>22</v>
      </c>
      <c r="F276" s="231">
        <v>277.94</v>
      </c>
      <c r="G276" s="229" t="s">
        <v>1</v>
      </c>
      <c r="H276" s="405">
        <f ca="1">INDEX(PRODUTIVIDADES!$M:$M,MATCH(tbAREAS[[#This Row],[TIPO DE ÁREA]],PRODUTIVIDADES!$B:$B,0)+MATCH(tbAREAS[[#This Row],[LOCALIDADE]],PRODUTIVIDADES!$A:$A,0)-3)*tbAREAS[[#This Row],[ÁREA EM M²]]</f>
        <v>111.176</v>
      </c>
      <c r="L276" s="391"/>
    </row>
    <row r="277" spans="1:12" hidden="1" x14ac:dyDescent="0.25">
      <c r="A277" s="228" t="s">
        <v>2</v>
      </c>
      <c r="B277" s="263" t="s">
        <v>83</v>
      </c>
      <c r="C277" s="230" t="s">
        <v>199</v>
      </c>
      <c r="D277" s="230" t="s">
        <v>200</v>
      </c>
      <c r="E277" s="229" t="s">
        <v>9</v>
      </c>
      <c r="F277" s="231">
        <v>73.22</v>
      </c>
      <c r="G277" s="229" t="s">
        <v>1</v>
      </c>
      <c r="H277" s="405">
        <f ca="1">INDEX(PRODUTIVIDADES!$M:$M,MATCH(tbAREAS[[#This Row],[TIPO DE ÁREA]],PRODUTIVIDADES!$B:$B,0)+MATCH(tbAREAS[[#This Row],[LOCALIDADE]],PRODUTIVIDADES!$A:$A,0)-3)*tbAREAS[[#This Row],[ÁREA EM M²]]</f>
        <v>571.11599999999999</v>
      </c>
      <c r="L277" s="391"/>
    </row>
    <row r="278" spans="1:12" hidden="1" x14ac:dyDescent="0.25">
      <c r="A278" s="228" t="s">
        <v>2</v>
      </c>
      <c r="B278" s="263" t="s">
        <v>83</v>
      </c>
      <c r="C278" s="230" t="s">
        <v>199</v>
      </c>
      <c r="D278" s="230" t="s">
        <v>200</v>
      </c>
      <c r="E278" s="229" t="s">
        <v>10</v>
      </c>
      <c r="F278" s="231">
        <v>146.97</v>
      </c>
      <c r="G278" s="229" t="s">
        <v>1</v>
      </c>
      <c r="H278" s="405">
        <f ca="1">INDEX(PRODUTIVIDADES!$M:$M,MATCH(tbAREAS[[#This Row],[TIPO DE ÁREA]],PRODUTIVIDADES!$B:$B,0)+MATCH(tbAREAS[[#This Row],[LOCALIDADE]],PRODUTIVIDADES!$A:$A,0)-3)*tbAREAS[[#This Row],[ÁREA EM M²]]</f>
        <v>458.54640000000001</v>
      </c>
      <c r="L278" s="391"/>
    </row>
    <row r="279" spans="1:12" hidden="1" x14ac:dyDescent="0.25">
      <c r="A279" s="228" t="s">
        <v>2</v>
      </c>
      <c r="B279" s="263" t="s">
        <v>83</v>
      </c>
      <c r="C279" s="230" t="s">
        <v>199</v>
      </c>
      <c r="D279" s="230" t="s">
        <v>200</v>
      </c>
      <c r="E279" s="229" t="s">
        <v>13</v>
      </c>
      <c r="F279" s="231">
        <v>36.61</v>
      </c>
      <c r="G279" s="229" t="s">
        <v>1</v>
      </c>
      <c r="H279" s="405">
        <f ca="1">INDEX(PRODUTIVIDADES!$M:$M,MATCH(tbAREAS[[#This Row],[TIPO DE ÁREA]],PRODUTIVIDADES!$B:$B,0)+MATCH(tbAREAS[[#This Row],[LOCALIDADE]],PRODUTIVIDADES!$A:$A,0)-3)*tbAREAS[[#This Row],[ÁREA EM M²]]</f>
        <v>114.22320000000001</v>
      </c>
      <c r="L279" s="391"/>
    </row>
    <row r="280" spans="1:12" hidden="1" x14ac:dyDescent="0.25">
      <c r="A280" s="228" t="s">
        <v>2</v>
      </c>
      <c r="B280" s="263" t="s">
        <v>83</v>
      </c>
      <c r="C280" s="230" t="s">
        <v>199</v>
      </c>
      <c r="D280" s="230" t="s">
        <v>200</v>
      </c>
      <c r="E280" s="229" t="s">
        <v>14</v>
      </c>
      <c r="F280" s="231">
        <v>277.54000000000002</v>
      </c>
      <c r="G280" s="229" t="s">
        <v>1</v>
      </c>
      <c r="H280" s="405">
        <f ca="1">INDEX(PRODUTIVIDADES!$M:$M,MATCH(tbAREAS[[#This Row],[TIPO DE ÁREA]],PRODUTIVIDADES!$B:$B,0)+MATCH(tbAREAS[[#This Row],[LOCALIDADE]],PRODUTIVIDADES!$A:$A,0)-3)*tbAREAS[[#This Row],[ÁREA EM M²]]</f>
        <v>2359.09</v>
      </c>
      <c r="L280" s="391"/>
    </row>
    <row r="281" spans="1:12" hidden="1" x14ac:dyDescent="0.25">
      <c r="A281" s="228" t="s">
        <v>2</v>
      </c>
      <c r="B281" s="263" t="s">
        <v>83</v>
      </c>
      <c r="C281" s="230" t="s">
        <v>199</v>
      </c>
      <c r="D281" s="230" t="s">
        <v>200</v>
      </c>
      <c r="E281" s="229" t="s">
        <v>15</v>
      </c>
      <c r="F281" s="231">
        <v>10.5</v>
      </c>
      <c r="G281" s="229" t="s">
        <v>1</v>
      </c>
      <c r="H281" s="405">
        <f ca="1">INDEX(PRODUTIVIDADES!$M:$M,MATCH(tbAREAS[[#This Row],[TIPO DE ÁREA]],PRODUTIVIDADES!$B:$B,0)+MATCH(tbAREAS[[#This Row],[LOCALIDADE]],PRODUTIVIDADES!$A:$A,0)-3)*tbAREAS[[#This Row],[ÁREA EM M²]]</f>
        <v>7.2449999999999992</v>
      </c>
      <c r="L281" s="391"/>
    </row>
    <row r="282" spans="1:12" hidden="1" x14ac:dyDescent="0.25">
      <c r="A282" s="228" t="s">
        <v>2</v>
      </c>
      <c r="B282" s="263" t="s">
        <v>83</v>
      </c>
      <c r="C282" s="230" t="s">
        <v>199</v>
      </c>
      <c r="D282" s="230" t="s">
        <v>200</v>
      </c>
      <c r="E282" s="229" t="s">
        <v>17</v>
      </c>
      <c r="F282" s="231">
        <v>313.32</v>
      </c>
      <c r="G282" s="229" t="s">
        <v>1</v>
      </c>
      <c r="H282" s="405">
        <f ca="1">INDEX(PRODUTIVIDADES!$M:$M,MATCH(tbAREAS[[#This Row],[TIPO DE ÁREA]],PRODUTIVIDADES!$B:$B,0)+MATCH(tbAREAS[[#This Row],[LOCALIDADE]],PRODUTIVIDADES!$A:$A,0)-3)*tbAREAS[[#This Row],[ÁREA EM M²]]</f>
        <v>733.16879999999992</v>
      </c>
      <c r="L282" s="391"/>
    </row>
    <row r="283" spans="1:12" hidden="1" x14ac:dyDescent="0.25">
      <c r="A283" s="228" t="s">
        <v>2</v>
      </c>
      <c r="B283" s="263" t="s">
        <v>83</v>
      </c>
      <c r="C283" s="230" t="s">
        <v>199</v>
      </c>
      <c r="D283" s="230" t="s">
        <v>200</v>
      </c>
      <c r="E283" s="229" t="s">
        <v>18</v>
      </c>
      <c r="F283" s="231">
        <v>68.23</v>
      </c>
      <c r="G283" s="229" t="s">
        <v>1</v>
      </c>
      <c r="H283" s="405">
        <f ca="1">INDEX(PRODUTIVIDADES!$M:$M,MATCH(tbAREAS[[#This Row],[TIPO DE ÁREA]],PRODUTIVIDADES!$B:$B,0)+MATCH(tbAREAS[[#This Row],[LOCALIDADE]],PRODUTIVIDADES!$A:$A,0)-3)*tbAREAS[[#This Row],[ÁREA EM M²]]</f>
        <v>3094.2305000000001</v>
      </c>
      <c r="L283" s="391"/>
    </row>
    <row r="284" spans="1:12" hidden="1" x14ac:dyDescent="0.25">
      <c r="A284" s="228" t="s">
        <v>2</v>
      </c>
      <c r="B284" s="263" t="s">
        <v>83</v>
      </c>
      <c r="C284" s="230" t="s">
        <v>199</v>
      </c>
      <c r="D284" s="230" t="s">
        <v>200</v>
      </c>
      <c r="E284" s="229" t="s">
        <v>20</v>
      </c>
      <c r="F284" s="231">
        <v>7.53</v>
      </c>
      <c r="G284" s="229" t="s">
        <v>1</v>
      </c>
      <c r="H284" s="405">
        <f ca="1">INDEX(PRODUTIVIDADES!$M:$M,MATCH(tbAREAS[[#This Row],[TIPO DE ÁREA]],PRODUTIVIDADES!$B:$B,0)+MATCH(tbAREAS[[#This Row],[LOCALIDADE]],PRODUTIVIDADES!$A:$A,0)-3)*tbAREAS[[#This Row],[ÁREA EM M²]]</f>
        <v>5.8734000000000002</v>
      </c>
      <c r="L284" s="391"/>
    </row>
    <row r="285" spans="1:12" hidden="1" x14ac:dyDescent="0.25">
      <c r="A285" s="228" t="s">
        <v>2</v>
      </c>
      <c r="B285" s="263" t="s">
        <v>83</v>
      </c>
      <c r="C285" s="230" t="s">
        <v>199</v>
      </c>
      <c r="D285" s="230" t="s">
        <v>200</v>
      </c>
      <c r="E285" s="229" t="s">
        <v>21</v>
      </c>
      <c r="F285" s="231">
        <v>256.57</v>
      </c>
      <c r="G285" s="229" t="s">
        <v>1</v>
      </c>
      <c r="H285" s="405">
        <f ca="1">INDEX(PRODUTIVIDADES!$M:$M,MATCH(tbAREAS[[#This Row],[TIPO DE ÁREA]],PRODUTIVIDADES!$B:$B,0)+MATCH(tbAREAS[[#This Row],[LOCALIDADE]],PRODUTIVIDADES!$A:$A,0)-3)*tbAREAS[[#This Row],[ÁREA EM M²]]</f>
        <v>43.616900000000001</v>
      </c>
      <c r="L285" s="391"/>
    </row>
    <row r="286" spans="1:12" hidden="1" x14ac:dyDescent="0.25">
      <c r="A286" s="228" t="s">
        <v>2</v>
      </c>
      <c r="B286" s="263" t="s">
        <v>83</v>
      </c>
      <c r="C286" s="230" t="s">
        <v>199</v>
      </c>
      <c r="D286" s="230" t="s">
        <v>200</v>
      </c>
      <c r="E286" s="229" t="s">
        <v>22</v>
      </c>
      <c r="F286" s="231">
        <v>256.57</v>
      </c>
      <c r="G286" s="229" t="s">
        <v>1</v>
      </c>
      <c r="H286" s="405">
        <f ca="1">INDEX(PRODUTIVIDADES!$M:$M,MATCH(tbAREAS[[#This Row],[TIPO DE ÁREA]],PRODUTIVIDADES!$B:$B,0)+MATCH(tbAREAS[[#This Row],[LOCALIDADE]],PRODUTIVIDADES!$A:$A,0)-3)*tbAREAS[[#This Row],[ÁREA EM M²]]</f>
        <v>102.628</v>
      </c>
      <c r="L286" s="391"/>
    </row>
    <row r="287" spans="1:12" hidden="1" x14ac:dyDescent="0.25">
      <c r="A287" s="228" t="s">
        <v>2</v>
      </c>
      <c r="B287" s="263" t="s">
        <v>83</v>
      </c>
      <c r="C287" s="230" t="s">
        <v>201</v>
      </c>
      <c r="D287" s="230" t="s">
        <v>202</v>
      </c>
      <c r="E287" s="229" t="s">
        <v>9</v>
      </c>
      <c r="F287" s="231">
        <v>73.22</v>
      </c>
      <c r="G287" s="229" t="s">
        <v>1</v>
      </c>
      <c r="H287" s="405">
        <f ca="1">INDEX(PRODUTIVIDADES!$M:$M,MATCH(tbAREAS[[#This Row],[TIPO DE ÁREA]],PRODUTIVIDADES!$B:$B,0)+MATCH(tbAREAS[[#This Row],[LOCALIDADE]],PRODUTIVIDADES!$A:$A,0)-3)*tbAREAS[[#This Row],[ÁREA EM M²]]</f>
        <v>571.11599999999999</v>
      </c>
      <c r="L287" s="391"/>
    </row>
    <row r="288" spans="1:12" hidden="1" x14ac:dyDescent="0.25">
      <c r="A288" s="228" t="s">
        <v>2</v>
      </c>
      <c r="B288" s="263" t="s">
        <v>83</v>
      </c>
      <c r="C288" s="230" t="s">
        <v>201</v>
      </c>
      <c r="D288" s="230" t="s">
        <v>202</v>
      </c>
      <c r="E288" s="229" t="s">
        <v>10</v>
      </c>
      <c r="F288" s="231">
        <v>125.79</v>
      </c>
      <c r="G288" s="229" t="s">
        <v>1</v>
      </c>
      <c r="H288" s="405">
        <f ca="1">INDEX(PRODUTIVIDADES!$M:$M,MATCH(tbAREAS[[#This Row],[TIPO DE ÁREA]],PRODUTIVIDADES!$B:$B,0)+MATCH(tbAREAS[[#This Row],[LOCALIDADE]],PRODUTIVIDADES!$A:$A,0)-3)*tbAREAS[[#This Row],[ÁREA EM M²]]</f>
        <v>392.46480000000003</v>
      </c>
      <c r="L288" s="391"/>
    </row>
    <row r="289" spans="1:12" hidden="1" x14ac:dyDescent="0.25">
      <c r="A289" s="228" t="s">
        <v>2</v>
      </c>
      <c r="B289" s="263" t="s">
        <v>83</v>
      </c>
      <c r="C289" s="230" t="s">
        <v>201</v>
      </c>
      <c r="D289" s="230" t="s">
        <v>202</v>
      </c>
      <c r="E289" s="229" t="s">
        <v>14</v>
      </c>
      <c r="F289" s="231">
        <v>305.3</v>
      </c>
      <c r="G289" s="229" t="s">
        <v>1</v>
      </c>
      <c r="H289" s="405">
        <f ca="1">INDEX(PRODUTIVIDADES!$M:$M,MATCH(tbAREAS[[#This Row],[TIPO DE ÁREA]],PRODUTIVIDADES!$B:$B,0)+MATCH(tbAREAS[[#This Row],[LOCALIDADE]],PRODUTIVIDADES!$A:$A,0)-3)*tbAREAS[[#This Row],[ÁREA EM M²]]</f>
        <v>2595.0500000000002</v>
      </c>
      <c r="L289" s="391"/>
    </row>
    <row r="290" spans="1:12" hidden="1" x14ac:dyDescent="0.25">
      <c r="A290" s="228" t="s">
        <v>2</v>
      </c>
      <c r="B290" s="263" t="s">
        <v>83</v>
      </c>
      <c r="C290" s="230" t="s">
        <v>201</v>
      </c>
      <c r="D290" s="230" t="s">
        <v>202</v>
      </c>
      <c r="E290" s="229" t="s">
        <v>15</v>
      </c>
      <c r="F290" s="231">
        <v>78.790000000000006</v>
      </c>
      <c r="G290" s="229" t="s">
        <v>1</v>
      </c>
      <c r="H290" s="405">
        <f ca="1">INDEX(PRODUTIVIDADES!$M:$M,MATCH(tbAREAS[[#This Row],[TIPO DE ÁREA]],PRODUTIVIDADES!$B:$B,0)+MATCH(tbAREAS[[#This Row],[LOCALIDADE]],PRODUTIVIDADES!$A:$A,0)-3)*tbAREAS[[#This Row],[ÁREA EM M²]]</f>
        <v>54.365099999999998</v>
      </c>
      <c r="L290" s="391"/>
    </row>
    <row r="291" spans="1:12" hidden="1" x14ac:dyDescent="0.25">
      <c r="A291" s="228" t="s">
        <v>2</v>
      </c>
      <c r="B291" s="263" t="s">
        <v>83</v>
      </c>
      <c r="C291" s="230" t="s">
        <v>201</v>
      </c>
      <c r="D291" s="230" t="s">
        <v>202</v>
      </c>
      <c r="E291" s="229" t="s">
        <v>17</v>
      </c>
      <c r="F291" s="231">
        <v>340.97</v>
      </c>
      <c r="G291" s="229" t="s">
        <v>1</v>
      </c>
      <c r="H291" s="405">
        <f ca="1">INDEX(PRODUTIVIDADES!$M:$M,MATCH(tbAREAS[[#This Row],[TIPO DE ÁREA]],PRODUTIVIDADES!$B:$B,0)+MATCH(tbAREAS[[#This Row],[LOCALIDADE]],PRODUTIVIDADES!$A:$A,0)-3)*tbAREAS[[#This Row],[ÁREA EM M²]]</f>
        <v>797.86980000000005</v>
      </c>
      <c r="L291" s="391"/>
    </row>
    <row r="292" spans="1:12" hidden="1" x14ac:dyDescent="0.25">
      <c r="A292" s="228" t="s">
        <v>2</v>
      </c>
      <c r="B292" s="263" t="s">
        <v>83</v>
      </c>
      <c r="C292" s="230" t="s">
        <v>201</v>
      </c>
      <c r="D292" s="230" t="s">
        <v>202</v>
      </c>
      <c r="E292" s="229" t="s">
        <v>18</v>
      </c>
      <c r="F292" s="231">
        <v>63.75</v>
      </c>
      <c r="G292" s="229" t="s">
        <v>1</v>
      </c>
      <c r="H292" s="405">
        <f ca="1">INDEX(PRODUTIVIDADES!$M:$M,MATCH(tbAREAS[[#This Row],[TIPO DE ÁREA]],PRODUTIVIDADES!$B:$B,0)+MATCH(tbAREAS[[#This Row],[LOCALIDADE]],PRODUTIVIDADES!$A:$A,0)-3)*tbAREAS[[#This Row],[ÁREA EM M²]]</f>
        <v>2891.0625</v>
      </c>
      <c r="L292" s="391"/>
    </row>
    <row r="293" spans="1:12" hidden="1" x14ac:dyDescent="0.25">
      <c r="A293" s="228" t="s">
        <v>2</v>
      </c>
      <c r="B293" s="263" t="s">
        <v>83</v>
      </c>
      <c r="C293" s="230" t="s">
        <v>201</v>
      </c>
      <c r="D293" s="230" t="s">
        <v>202</v>
      </c>
      <c r="E293" s="229" t="s">
        <v>20</v>
      </c>
      <c r="F293" s="231">
        <v>7.53</v>
      </c>
      <c r="G293" s="229" t="s">
        <v>1</v>
      </c>
      <c r="H293" s="405">
        <f ca="1">INDEX(PRODUTIVIDADES!$M:$M,MATCH(tbAREAS[[#This Row],[TIPO DE ÁREA]],PRODUTIVIDADES!$B:$B,0)+MATCH(tbAREAS[[#This Row],[LOCALIDADE]],PRODUTIVIDADES!$A:$A,0)-3)*tbAREAS[[#This Row],[ÁREA EM M²]]</f>
        <v>5.8734000000000002</v>
      </c>
      <c r="L293" s="391"/>
    </row>
    <row r="294" spans="1:12" hidden="1" x14ac:dyDescent="0.25">
      <c r="A294" s="228" t="s">
        <v>2</v>
      </c>
      <c r="B294" s="263" t="s">
        <v>83</v>
      </c>
      <c r="C294" s="230" t="s">
        <v>201</v>
      </c>
      <c r="D294" s="230" t="s">
        <v>202</v>
      </c>
      <c r="E294" s="229" t="s">
        <v>21</v>
      </c>
      <c r="F294" s="231">
        <v>256.57</v>
      </c>
      <c r="G294" s="229" t="s">
        <v>1</v>
      </c>
      <c r="H294" s="405">
        <f ca="1">INDEX(PRODUTIVIDADES!$M:$M,MATCH(tbAREAS[[#This Row],[TIPO DE ÁREA]],PRODUTIVIDADES!$B:$B,0)+MATCH(tbAREAS[[#This Row],[LOCALIDADE]],PRODUTIVIDADES!$A:$A,0)-3)*tbAREAS[[#This Row],[ÁREA EM M²]]</f>
        <v>43.616900000000001</v>
      </c>
      <c r="L294" s="391"/>
    </row>
    <row r="295" spans="1:12" hidden="1" x14ac:dyDescent="0.25">
      <c r="A295" s="228" t="s">
        <v>2</v>
      </c>
      <c r="B295" s="263" t="s">
        <v>83</v>
      </c>
      <c r="C295" s="230" t="s">
        <v>201</v>
      </c>
      <c r="D295" s="230" t="s">
        <v>202</v>
      </c>
      <c r="E295" s="229" t="s">
        <v>22</v>
      </c>
      <c r="F295" s="231">
        <v>256.57</v>
      </c>
      <c r="G295" s="229" t="s">
        <v>1</v>
      </c>
      <c r="H295" s="405">
        <f ca="1">INDEX(PRODUTIVIDADES!$M:$M,MATCH(tbAREAS[[#This Row],[TIPO DE ÁREA]],PRODUTIVIDADES!$B:$B,0)+MATCH(tbAREAS[[#This Row],[LOCALIDADE]],PRODUTIVIDADES!$A:$A,0)-3)*tbAREAS[[#This Row],[ÁREA EM M²]]</f>
        <v>102.628</v>
      </c>
      <c r="L295" s="391"/>
    </row>
    <row r="296" spans="1:12" hidden="1" x14ac:dyDescent="0.25">
      <c r="A296" s="228" t="s">
        <v>2</v>
      </c>
      <c r="B296" s="263" t="s">
        <v>83</v>
      </c>
      <c r="C296" s="230" t="s">
        <v>203</v>
      </c>
      <c r="D296" s="230" t="s">
        <v>204</v>
      </c>
      <c r="E296" s="229" t="s">
        <v>9</v>
      </c>
      <c r="F296" s="231">
        <v>109.83</v>
      </c>
      <c r="G296" s="229" t="s">
        <v>1</v>
      </c>
      <c r="H296" s="405">
        <f ca="1">INDEX(PRODUTIVIDADES!$M:$M,MATCH(tbAREAS[[#This Row],[TIPO DE ÁREA]],PRODUTIVIDADES!$B:$B,0)+MATCH(tbAREAS[[#This Row],[LOCALIDADE]],PRODUTIVIDADES!$A:$A,0)-3)*tbAREAS[[#This Row],[ÁREA EM M²]]</f>
        <v>856.67399999999998</v>
      </c>
      <c r="L296" s="391"/>
    </row>
    <row r="297" spans="1:12" hidden="1" x14ac:dyDescent="0.25">
      <c r="A297" s="228" t="s">
        <v>2</v>
      </c>
      <c r="B297" s="263" t="s">
        <v>83</v>
      </c>
      <c r="C297" s="230" t="s">
        <v>203</v>
      </c>
      <c r="D297" s="230" t="s">
        <v>204</v>
      </c>
      <c r="E297" s="229" t="s">
        <v>10</v>
      </c>
      <c r="F297" s="231">
        <v>175.79</v>
      </c>
      <c r="G297" s="229" t="s">
        <v>1</v>
      </c>
      <c r="H297" s="405">
        <f ca="1">INDEX(PRODUTIVIDADES!$M:$M,MATCH(tbAREAS[[#This Row],[TIPO DE ÁREA]],PRODUTIVIDADES!$B:$B,0)+MATCH(tbAREAS[[#This Row],[LOCALIDADE]],PRODUTIVIDADES!$A:$A,0)-3)*tbAREAS[[#This Row],[ÁREA EM M²]]</f>
        <v>548.46479999999997</v>
      </c>
      <c r="L297" s="391"/>
    </row>
    <row r="298" spans="1:12" hidden="1" x14ac:dyDescent="0.25">
      <c r="A298" s="228" t="s">
        <v>2</v>
      </c>
      <c r="B298" s="263" t="s">
        <v>83</v>
      </c>
      <c r="C298" s="230" t="s">
        <v>203</v>
      </c>
      <c r="D298" s="230" t="s">
        <v>204</v>
      </c>
      <c r="E298" s="229" t="s">
        <v>14</v>
      </c>
      <c r="F298" s="231">
        <v>259.29000000000002</v>
      </c>
      <c r="G298" s="229" t="s">
        <v>1</v>
      </c>
      <c r="H298" s="405">
        <f ca="1">INDEX(PRODUTIVIDADES!$M:$M,MATCH(tbAREAS[[#This Row],[TIPO DE ÁREA]],PRODUTIVIDADES!$B:$B,0)+MATCH(tbAREAS[[#This Row],[LOCALIDADE]],PRODUTIVIDADES!$A:$A,0)-3)*tbAREAS[[#This Row],[ÁREA EM M²]]</f>
        <v>2203.9650000000001</v>
      </c>
      <c r="L298" s="391"/>
    </row>
    <row r="299" spans="1:12" hidden="1" x14ac:dyDescent="0.25">
      <c r="A299" s="228" t="s">
        <v>2</v>
      </c>
      <c r="B299" s="263" t="s">
        <v>83</v>
      </c>
      <c r="C299" s="230" t="s">
        <v>203</v>
      </c>
      <c r="D299" s="230" t="s">
        <v>204</v>
      </c>
      <c r="E299" s="229" t="s">
        <v>17</v>
      </c>
      <c r="F299" s="231">
        <v>307.18</v>
      </c>
      <c r="G299" s="229" t="s">
        <v>1</v>
      </c>
      <c r="H299" s="405">
        <f ca="1">INDEX(PRODUTIVIDADES!$M:$M,MATCH(tbAREAS[[#This Row],[TIPO DE ÁREA]],PRODUTIVIDADES!$B:$B,0)+MATCH(tbAREAS[[#This Row],[LOCALIDADE]],PRODUTIVIDADES!$A:$A,0)-3)*tbAREAS[[#This Row],[ÁREA EM M²]]</f>
        <v>718.80119999999999</v>
      </c>
      <c r="L299" s="391"/>
    </row>
    <row r="300" spans="1:12" hidden="1" x14ac:dyDescent="0.25">
      <c r="A300" s="228" t="s">
        <v>2</v>
      </c>
      <c r="B300" s="263" t="s">
        <v>83</v>
      </c>
      <c r="C300" s="230" t="s">
        <v>203</v>
      </c>
      <c r="D300" s="230" t="s">
        <v>204</v>
      </c>
      <c r="E300" s="229" t="s">
        <v>18</v>
      </c>
      <c r="F300" s="231">
        <v>68.23</v>
      </c>
      <c r="G300" s="229" t="s">
        <v>1</v>
      </c>
      <c r="H300" s="405">
        <f ca="1">INDEX(PRODUTIVIDADES!$M:$M,MATCH(tbAREAS[[#This Row],[TIPO DE ÁREA]],PRODUTIVIDADES!$B:$B,0)+MATCH(tbAREAS[[#This Row],[LOCALIDADE]],PRODUTIVIDADES!$A:$A,0)-3)*tbAREAS[[#This Row],[ÁREA EM M²]]</f>
        <v>3094.2305000000001</v>
      </c>
      <c r="L300" s="391"/>
    </row>
    <row r="301" spans="1:12" hidden="1" x14ac:dyDescent="0.25">
      <c r="A301" s="228" t="s">
        <v>2</v>
      </c>
      <c r="B301" s="263" t="s">
        <v>83</v>
      </c>
      <c r="C301" s="230" t="s">
        <v>203</v>
      </c>
      <c r="D301" s="230" t="s">
        <v>204</v>
      </c>
      <c r="E301" s="229" t="s">
        <v>20</v>
      </c>
      <c r="F301" s="231">
        <v>40</v>
      </c>
      <c r="G301" s="229" t="s">
        <v>1</v>
      </c>
      <c r="H301" s="405">
        <f ca="1">INDEX(PRODUTIVIDADES!$M:$M,MATCH(tbAREAS[[#This Row],[TIPO DE ÁREA]],PRODUTIVIDADES!$B:$B,0)+MATCH(tbAREAS[[#This Row],[LOCALIDADE]],PRODUTIVIDADES!$A:$A,0)-3)*tbAREAS[[#This Row],[ÁREA EM M²]]</f>
        <v>31.200000000000003</v>
      </c>
      <c r="L301" s="391"/>
    </row>
    <row r="302" spans="1:12" hidden="1" x14ac:dyDescent="0.25">
      <c r="A302" s="228" t="s">
        <v>2</v>
      </c>
      <c r="B302" s="263" t="s">
        <v>83</v>
      </c>
      <c r="C302" s="230" t="s">
        <v>203</v>
      </c>
      <c r="D302" s="230" t="s">
        <v>204</v>
      </c>
      <c r="E302" s="229" t="s">
        <v>21</v>
      </c>
      <c r="F302" s="231">
        <v>233</v>
      </c>
      <c r="G302" s="229" t="s">
        <v>1</v>
      </c>
      <c r="H302" s="405">
        <f ca="1">INDEX(PRODUTIVIDADES!$M:$M,MATCH(tbAREAS[[#This Row],[TIPO DE ÁREA]],PRODUTIVIDADES!$B:$B,0)+MATCH(tbAREAS[[#This Row],[LOCALIDADE]],PRODUTIVIDADES!$A:$A,0)-3)*tbAREAS[[#This Row],[ÁREA EM M²]]</f>
        <v>39.61</v>
      </c>
      <c r="L302" s="391"/>
    </row>
    <row r="303" spans="1:12" hidden="1" x14ac:dyDescent="0.25">
      <c r="A303" s="228" t="s">
        <v>2</v>
      </c>
      <c r="B303" s="263" t="s">
        <v>83</v>
      </c>
      <c r="C303" s="230" t="s">
        <v>203</v>
      </c>
      <c r="D303" s="230" t="s">
        <v>204</v>
      </c>
      <c r="E303" s="229" t="s">
        <v>22</v>
      </c>
      <c r="F303" s="231">
        <v>233</v>
      </c>
      <c r="G303" s="229" t="s">
        <v>1</v>
      </c>
      <c r="H303" s="405">
        <f ca="1">INDEX(PRODUTIVIDADES!$M:$M,MATCH(tbAREAS[[#This Row],[TIPO DE ÁREA]],PRODUTIVIDADES!$B:$B,0)+MATCH(tbAREAS[[#This Row],[LOCALIDADE]],PRODUTIVIDADES!$A:$A,0)-3)*tbAREAS[[#This Row],[ÁREA EM M²]]</f>
        <v>93.2</v>
      </c>
      <c r="L303" s="391"/>
    </row>
    <row r="304" spans="1:12" hidden="1" x14ac:dyDescent="0.25">
      <c r="A304" s="228" t="s">
        <v>2</v>
      </c>
      <c r="B304" s="263" t="s">
        <v>83</v>
      </c>
      <c r="C304" s="230" t="s">
        <v>205</v>
      </c>
      <c r="D304" s="230" t="s">
        <v>206</v>
      </c>
      <c r="E304" s="229" t="s">
        <v>9</v>
      </c>
      <c r="F304" s="231">
        <v>73.22</v>
      </c>
      <c r="G304" s="229" t="s">
        <v>1</v>
      </c>
      <c r="H304" s="405">
        <f ca="1">INDEX(PRODUTIVIDADES!$M:$M,MATCH(tbAREAS[[#This Row],[TIPO DE ÁREA]],PRODUTIVIDADES!$B:$B,0)+MATCH(tbAREAS[[#This Row],[LOCALIDADE]],PRODUTIVIDADES!$A:$A,0)-3)*tbAREAS[[#This Row],[ÁREA EM M²]]</f>
        <v>571.11599999999999</v>
      </c>
      <c r="L304" s="391"/>
    </row>
    <row r="305" spans="1:12" hidden="1" x14ac:dyDescent="0.25">
      <c r="A305" s="228" t="s">
        <v>2</v>
      </c>
      <c r="B305" s="263" t="s">
        <v>83</v>
      </c>
      <c r="C305" s="230" t="s">
        <v>205</v>
      </c>
      <c r="D305" s="230" t="s">
        <v>206</v>
      </c>
      <c r="E305" s="229" t="s">
        <v>10</v>
      </c>
      <c r="F305" s="231">
        <v>97.91</v>
      </c>
      <c r="G305" s="229" t="s">
        <v>1</v>
      </c>
      <c r="H305" s="405">
        <f ca="1">INDEX(PRODUTIVIDADES!$M:$M,MATCH(tbAREAS[[#This Row],[TIPO DE ÁREA]],PRODUTIVIDADES!$B:$B,0)+MATCH(tbAREAS[[#This Row],[LOCALIDADE]],PRODUTIVIDADES!$A:$A,0)-3)*tbAREAS[[#This Row],[ÁREA EM M²]]</f>
        <v>305.47919999999999</v>
      </c>
      <c r="L305" s="391"/>
    </row>
    <row r="306" spans="1:12" hidden="1" x14ac:dyDescent="0.25">
      <c r="A306" s="228" t="s">
        <v>2</v>
      </c>
      <c r="B306" s="263" t="s">
        <v>83</v>
      </c>
      <c r="C306" s="230" t="s">
        <v>205</v>
      </c>
      <c r="D306" s="230" t="s">
        <v>206</v>
      </c>
      <c r="E306" s="229" t="s">
        <v>14</v>
      </c>
      <c r="F306" s="231">
        <v>378.5</v>
      </c>
      <c r="G306" s="229" t="s">
        <v>1</v>
      </c>
      <c r="H306" s="405">
        <f ca="1">INDEX(PRODUTIVIDADES!$M:$M,MATCH(tbAREAS[[#This Row],[TIPO DE ÁREA]],PRODUTIVIDADES!$B:$B,0)+MATCH(tbAREAS[[#This Row],[LOCALIDADE]],PRODUTIVIDADES!$A:$A,0)-3)*tbAREAS[[#This Row],[ÁREA EM M²]]</f>
        <v>3217.25</v>
      </c>
      <c r="L306" s="391"/>
    </row>
    <row r="307" spans="1:12" hidden="1" x14ac:dyDescent="0.25">
      <c r="A307" s="228" t="s">
        <v>2</v>
      </c>
      <c r="B307" s="263" t="s">
        <v>83</v>
      </c>
      <c r="C307" s="230" t="s">
        <v>205</v>
      </c>
      <c r="D307" s="230" t="s">
        <v>206</v>
      </c>
      <c r="E307" s="229" t="s">
        <v>15</v>
      </c>
      <c r="F307" s="231">
        <v>84.56</v>
      </c>
      <c r="G307" s="229" t="s">
        <v>1</v>
      </c>
      <c r="H307" s="405">
        <f ca="1">INDEX(PRODUTIVIDADES!$M:$M,MATCH(tbAREAS[[#This Row],[TIPO DE ÁREA]],PRODUTIVIDADES!$B:$B,0)+MATCH(tbAREAS[[#This Row],[LOCALIDADE]],PRODUTIVIDADES!$A:$A,0)-3)*tbAREAS[[#This Row],[ÁREA EM M²]]</f>
        <v>58.346399999999996</v>
      </c>
      <c r="L307" s="391"/>
    </row>
    <row r="308" spans="1:12" hidden="1" x14ac:dyDescent="0.25">
      <c r="A308" s="228" t="s">
        <v>2</v>
      </c>
      <c r="B308" s="263" t="s">
        <v>83</v>
      </c>
      <c r="C308" s="230" t="s">
        <v>205</v>
      </c>
      <c r="D308" s="230" t="s">
        <v>206</v>
      </c>
      <c r="E308" s="229" t="s">
        <v>17</v>
      </c>
      <c r="F308" s="231">
        <v>328.49</v>
      </c>
      <c r="G308" s="229" t="s">
        <v>1</v>
      </c>
      <c r="H308" s="405">
        <f ca="1">INDEX(PRODUTIVIDADES!$M:$M,MATCH(tbAREAS[[#This Row],[TIPO DE ÁREA]],PRODUTIVIDADES!$B:$B,0)+MATCH(tbAREAS[[#This Row],[LOCALIDADE]],PRODUTIVIDADES!$A:$A,0)-3)*tbAREAS[[#This Row],[ÁREA EM M²]]</f>
        <v>768.66660000000002</v>
      </c>
      <c r="L308" s="391"/>
    </row>
    <row r="309" spans="1:12" hidden="1" x14ac:dyDescent="0.25">
      <c r="A309" s="228" t="s">
        <v>2</v>
      </c>
      <c r="B309" s="263" t="s">
        <v>83</v>
      </c>
      <c r="C309" s="230" t="s">
        <v>205</v>
      </c>
      <c r="D309" s="230" t="s">
        <v>206</v>
      </c>
      <c r="E309" s="229" t="s">
        <v>18</v>
      </c>
      <c r="F309" s="231">
        <v>71.73</v>
      </c>
      <c r="G309" s="229" t="s">
        <v>1</v>
      </c>
      <c r="H309" s="405">
        <f ca="1">INDEX(PRODUTIVIDADES!$M:$M,MATCH(tbAREAS[[#This Row],[TIPO DE ÁREA]],PRODUTIVIDADES!$B:$B,0)+MATCH(tbAREAS[[#This Row],[LOCALIDADE]],PRODUTIVIDADES!$A:$A,0)-3)*tbAREAS[[#This Row],[ÁREA EM M²]]</f>
        <v>3252.9555000000005</v>
      </c>
      <c r="L309" s="391"/>
    </row>
    <row r="310" spans="1:12" hidden="1" x14ac:dyDescent="0.25">
      <c r="A310" s="228" t="s">
        <v>2</v>
      </c>
      <c r="B310" s="263" t="s">
        <v>83</v>
      </c>
      <c r="C310" s="230" t="s">
        <v>205</v>
      </c>
      <c r="D310" s="230" t="s">
        <v>206</v>
      </c>
      <c r="E310" s="229" t="s">
        <v>20</v>
      </c>
      <c r="F310" s="231">
        <v>7.53</v>
      </c>
      <c r="G310" s="229" t="s">
        <v>1</v>
      </c>
      <c r="H310" s="405">
        <f ca="1">INDEX(PRODUTIVIDADES!$M:$M,MATCH(tbAREAS[[#This Row],[TIPO DE ÁREA]],PRODUTIVIDADES!$B:$B,0)+MATCH(tbAREAS[[#This Row],[LOCALIDADE]],PRODUTIVIDADES!$A:$A,0)-3)*tbAREAS[[#This Row],[ÁREA EM M²]]</f>
        <v>5.8734000000000002</v>
      </c>
      <c r="L310" s="391"/>
    </row>
    <row r="311" spans="1:12" hidden="1" x14ac:dyDescent="0.25">
      <c r="A311" s="228" t="s">
        <v>2</v>
      </c>
      <c r="B311" s="263" t="s">
        <v>83</v>
      </c>
      <c r="C311" s="230" t="s">
        <v>205</v>
      </c>
      <c r="D311" s="230" t="s">
        <v>206</v>
      </c>
      <c r="E311" s="229" t="s">
        <v>21</v>
      </c>
      <c r="F311" s="231">
        <v>256.57</v>
      </c>
      <c r="G311" s="229" t="s">
        <v>1</v>
      </c>
      <c r="H311" s="405">
        <f ca="1">INDEX(PRODUTIVIDADES!$M:$M,MATCH(tbAREAS[[#This Row],[TIPO DE ÁREA]],PRODUTIVIDADES!$B:$B,0)+MATCH(tbAREAS[[#This Row],[LOCALIDADE]],PRODUTIVIDADES!$A:$A,0)-3)*tbAREAS[[#This Row],[ÁREA EM M²]]</f>
        <v>43.616900000000001</v>
      </c>
      <c r="L311" s="391"/>
    </row>
    <row r="312" spans="1:12" hidden="1" x14ac:dyDescent="0.25">
      <c r="A312" s="228" t="s">
        <v>2</v>
      </c>
      <c r="B312" s="263" t="s">
        <v>83</v>
      </c>
      <c r="C312" s="230" t="s">
        <v>205</v>
      </c>
      <c r="D312" s="230" t="s">
        <v>206</v>
      </c>
      <c r="E312" s="229" t="s">
        <v>22</v>
      </c>
      <c r="F312" s="231">
        <v>256.57</v>
      </c>
      <c r="G312" s="229" t="s">
        <v>1</v>
      </c>
      <c r="H312" s="405">
        <f ca="1">INDEX(PRODUTIVIDADES!$M:$M,MATCH(tbAREAS[[#This Row],[TIPO DE ÁREA]],PRODUTIVIDADES!$B:$B,0)+MATCH(tbAREAS[[#This Row],[LOCALIDADE]],PRODUTIVIDADES!$A:$A,0)-3)*tbAREAS[[#This Row],[ÁREA EM M²]]</f>
        <v>102.628</v>
      </c>
      <c r="L312" s="391"/>
    </row>
    <row r="313" spans="1:12" hidden="1" x14ac:dyDescent="0.25">
      <c r="A313" s="228" t="s">
        <v>2</v>
      </c>
      <c r="B313" s="263" t="s">
        <v>83</v>
      </c>
      <c r="C313" s="230" t="s">
        <v>207</v>
      </c>
      <c r="D313" s="230" t="s">
        <v>208</v>
      </c>
      <c r="E313" s="229" t="s">
        <v>9</v>
      </c>
      <c r="F313" s="231">
        <v>100.3</v>
      </c>
      <c r="G313" s="229" t="s">
        <v>1</v>
      </c>
      <c r="H313" s="405">
        <f ca="1">INDEX(PRODUTIVIDADES!$M:$M,MATCH(tbAREAS[[#This Row],[TIPO DE ÁREA]],PRODUTIVIDADES!$B:$B,0)+MATCH(tbAREAS[[#This Row],[LOCALIDADE]],PRODUTIVIDADES!$A:$A,0)-3)*tbAREAS[[#This Row],[ÁREA EM M²]]</f>
        <v>782.33999999999992</v>
      </c>
      <c r="L313" s="391"/>
    </row>
    <row r="314" spans="1:12" hidden="1" x14ac:dyDescent="0.25">
      <c r="A314" s="228" t="s">
        <v>2</v>
      </c>
      <c r="B314" s="263" t="s">
        <v>83</v>
      </c>
      <c r="C314" s="230" t="s">
        <v>207</v>
      </c>
      <c r="D314" s="230" t="s">
        <v>208</v>
      </c>
      <c r="E314" s="229" t="s">
        <v>10</v>
      </c>
      <c r="F314" s="231">
        <v>7.6</v>
      </c>
      <c r="G314" s="229" t="s">
        <v>1</v>
      </c>
      <c r="H314" s="405">
        <f ca="1">INDEX(PRODUTIVIDADES!$M:$M,MATCH(tbAREAS[[#This Row],[TIPO DE ÁREA]],PRODUTIVIDADES!$B:$B,0)+MATCH(tbAREAS[[#This Row],[LOCALIDADE]],PRODUTIVIDADES!$A:$A,0)-3)*tbAREAS[[#This Row],[ÁREA EM M²]]</f>
        <v>23.712</v>
      </c>
      <c r="L314" s="391"/>
    </row>
    <row r="315" spans="1:12" hidden="1" x14ac:dyDescent="0.25">
      <c r="A315" s="228" t="s">
        <v>2</v>
      </c>
      <c r="B315" s="263" t="s">
        <v>83</v>
      </c>
      <c r="C315" s="230" t="s">
        <v>207</v>
      </c>
      <c r="D315" s="230" t="s">
        <v>208</v>
      </c>
      <c r="E315" s="229" t="s">
        <v>16</v>
      </c>
      <c r="F315" s="231">
        <v>247.2</v>
      </c>
      <c r="G315" s="229" t="s">
        <v>1</v>
      </c>
      <c r="H315" s="405">
        <f ca="1">INDEX(PRODUTIVIDADES!$M:$M,MATCH(tbAREAS[[#This Row],[TIPO DE ÁREA]],PRODUTIVIDADES!$B:$B,0)+MATCH(tbAREAS[[#This Row],[LOCALIDADE]],PRODUTIVIDADES!$A:$A,0)-3)*tbAREAS[[#This Row],[ÁREA EM M²]]</f>
        <v>192.816</v>
      </c>
      <c r="L315" s="391"/>
    </row>
    <row r="316" spans="1:12" hidden="1" x14ac:dyDescent="0.25">
      <c r="A316" s="228" t="s">
        <v>2</v>
      </c>
      <c r="B316" s="263" t="s">
        <v>83</v>
      </c>
      <c r="C316" s="230" t="s">
        <v>207</v>
      </c>
      <c r="D316" s="230" t="s">
        <v>208</v>
      </c>
      <c r="E316" s="229" t="s">
        <v>17</v>
      </c>
      <c r="F316" s="231">
        <v>7.47</v>
      </c>
      <c r="G316" s="229" t="s">
        <v>1</v>
      </c>
      <c r="H316" s="405">
        <f ca="1">INDEX(PRODUTIVIDADES!$M:$M,MATCH(tbAREAS[[#This Row],[TIPO DE ÁREA]],PRODUTIVIDADES!$B:$B,0)+MATCH(tbAREAS[[#This Row],[LOCALIDADE]],PRODUTIVIDADES!$A:$A,0)-3)*tbAREAS[[#This Row],[ÁREA EM M²]]</f>
        <v>17.479799999999997</v>
      </c>
      <c r="L316" s="391"/>
    </row>
    <row r="317" spans="1:12" hidden="1" x14ac:dyDescent="0.25">
      <c r="A317" s="228" t="s">
        <v>2</v>
      </c>
      <c r="B317" s="263" t="s">
        <v>83</v>
      </c>
      <c r="C317" s="230" t="s">
        <v>207</v>
      </c>
      <c r="D317" s="230" t="s">
        <v>208</v>
      </c>
      <c r="E317" s="229" t="s">
        <v>18</v>
      </c>
      <c r="F317" s="231">
        <v>7.27</v>
      </c>
      <c r="G317" s="229" t="s">
        <v>1</v>
      </c>
      <c r="H317" s="405">
        <f ca="1">INDEX(PRODUTIVIDADES!$M:$M,MATCH(tbAREAS[[#This Row],[TIPO DE ÁREA]],PRODUTIVIDADES!$B:$B,0)+MATCH(tbAREAS[[#This Row],[LOCALIDADE]],PRODUTIVIDADES!$A:$A,0)-3)*tbAREAS[[#This Row],[ÁREA EM M²]]</f>
        <v>329.69450000000001</v>
      </c>
      <c r="L317" s="391"/>
    </row>
    <row r="318" spans="1:12" hidden="1" x14ac:dyDescent="0.25">
      <c r="A318" s="228" t="s">
        <v>2</v>
      </c>
      <c r="B318" s="263" t="s">
        <v>83</v>
      </c>
      <c r="C318" s="230" t="s">
        <v>207</v>
      </c>
      <c r="D318" s="230" t="s">
        <v>208</v>
      </c>
      <c r="E318" s="229" t="s">
        <v>21</v>
      </c>
      <c r="F318" s="231">
        <v>60.2</v>
      </c>
      <c r="G318" s="229" t="s">
        <v>1</v>
      </c>
      <c r="H318" s="405">
        <f ca="1">INDEX(PRODUTIVIDADES!$M:$M,MATCH(tbAREAS[[#This Row],[TIPO DE ÁREA]],PRODUTIVIDADES!$B:$B,0)+MATCH(tbAREAS[[#This Row],[LOCALIDADE]],PRODUTIVIDADES!$A:$A,0)-3)*tbAREAS[[#This Row],[ÁREA EM M²]]</f>
        <v>10.234000000000002</v>
      </c>
      <c r="L318" s="391"/>
    </row>
    <row r="319" spans="1:12" hidden="1" x14ac:dyDescent="0.25">
      <c r="A319" s="228" t="s">
        <v>2</v>
      </c>
      <c r="B319" s="263" t="s">
        <v>83</v>
      </c>
      <c r="C319" s="230" t="s">
        <v>207</v>
      </c>
      <c r="D319" s="230" t="s">
        <v>208</v>
      </c>
      <c r="E319" s="229" t="s">
        <v>22</v>
      </c>
      <c r="F319" s="231">
        <v>60.2</v>
      </c>
      <c r="G319" s="229" t="s">
        <v>1</v>
      </c>
      <c r="H319" s="405">
        <f ca="1">INDEX(PRODUTIVIDADES!$M:$M,MATCH(tbAREAS[[#This Row],[TIPO DE ÁREA]],PRODUTIVIDADES!$B:$B,0)+MATCH(tbAREAS[[#This Row],[LOCALIDADE]],PRODUTIVIDADES!$A:$A,0)-3)*tbAREAS[[#This Row],[ÁREA EM M²]]</f>
        <v>24.080000000000002</v>
      </c>
      <c r="L319" s="391"/>
    </row>
    <row r="320" spans="1:12" hidden="1" x14ac:dyDescent="0.25">
      <c r="A320" s="228" t="s">
        <v>2</v>
      </c>
      <c r="B320" s="263" t="s">
        <v>83</v>
      </c>
      <c r="C320" s="230" t="s">
        <v>209</v>
      </c>
      <c r="D320" s="230" t="s">
        <v>210</v>
      </c>
      <c r="E320" s="229" t="s">
        <v>10</v>
      </c>
      <c r="F320" s="231">
        <v>90.43</v>
      </c>
      <c r="G320" s="229" t="s">
        <v>1</v>
      </c>
      <c r="H320" s="405">
        <f ca="1">INDEX(PRODUTIVIDADES!$M:$M,MATCH(tbAREAS[[#This Row],[TIPO DE ÁREA]],PRODUTIVIDADES!$B:$B,0)+MATCH(tbAREAS[[#This Row],[LOCALIDADE]],PRODUTIVIDADES!$A:$A,0)-3)*tbAREAS[[#This Row],[ÁREA EM M²]]</f>
        <v>282.14160000000004</v>
      </c>
      <c r="L320" s="391"/>
    </row>
    <row r="321" spans="1:12" hidden="1" x14ac:dyDescent="0.25">
      <c r="A321" s="228" t="s">
        <v>2</v>
      </c>
      <c r="B321" s="263" t="s">
        <v>83</v>
      </c>
      <c r="C321" s="230" t="s">
        <v>209</v>
      </c>
      <c r="D321" s="230" t="s">
        <v>210</v>
      </c>
      <c r="E321" s="229" t="s">
        <v>13</v>
      </c>
      <c r="F321" s="231">
        <v>115.56</v>
      </c>
      <c r="G321" s="229" t="s">
        <v>1</v>
      </c>
      <c r="H321" s="405">
        <f ca="1">INDEX(PRODUTIVIDADES!$M:$M,MATCH(tbAREAS[[#This Row],[TIPO DE ÁREA]],PRODUTIVIDADES!$B:$B,0)+MATCH(tbAREAS[[#This Row],[LOCALIDADE]],PRODUTIVIDADES!$A:$A,0)-3)*tbAREAS[[#This Row],[ÁREA EM M²]]</f>
        <v>360.54720000000003</v>
      </c>
      <c r="L321" s="391"/>
    </row>
    <row r="322" spans="1:12" hidden="1" x14ac:dyDescent="0.25">
      <c r="A322" s="228" t="s">
        <v>2</v>
      </c>
      <c r="B322" s="263" t="s">
        <v>83</v>
      </c>
      <c r="C322" s="230" t="s">
        <v>209</v>
      </c>
      <c r="D322" s="230" t="s">
        <v>210</v>
      </c>
      <c r="E322" s="229" t="s">
        <v>14</v>
      </c>
      <c r="F322" s="231">
        <v>268.08</v>
      </c>
      <c r="G322" s="229" t="s">
        <v>1</v>
      </c>
      <c r="H322" s="405">
        <f ca="1">INDEX(PRODUTIVIDADES!$M:$M,MATCH(tbAREAS[[#This Row],[TIPO DE ÁREA]],PRODUTIVIDADES!$B:$B,0)+MATCH(tbAREAS[[#This Row],[LOCALIDADE]],PRODUTIVIDADES!$A:$A,0)-3)*tbAREAS[[#This Row],[ÁREA EM M²]]</f>
        <v>2278.6799999999998</v>
      </c>
      <c r="L322" s="391"/>
    </row>
    <row r="323" spans="1:12" hidden="1" x14ac:dyDescent="0.25">
      <c r="A323" s="228" t="s">
        <v>2</v>
      </c>
      <c r="B323" s="263" t="s">
        <v>83</v>
      </c>
      <c r="C323" s="230" t="s">
        <v>209</v>
      </c>
      <c r="D323" s="230" t="s">
        <v>210</v>
      </c>
      <c r="E323" s="229" t="s">
        <v>15</v>
      </c>
      <c r="F323" s="231">
        <v>143.81</v>
      </c>
      <c r="G323" s="229" t="s">
        <v>1</v>
      </c>
      <c r="H323" s="405">
        <f ca="1">INDEX(PRODUTIVIDADES!$M:$M,MATCH(tbAREAS[[#This Row],[TIPO DE ÁREA]],PRODUTIVIDADES!$B:$B,0)+MATCH(tbAREAS[[#This Row],[LOCALIDADE]],PRODUTIVIDADES!$A:$A,0)-3)*tbAREAS[[#This Row],[ÁREA EM M²]]</f>
        <v>99.228899999999996</v>
      </c>
      <c r="L323" s="391"/>
    </row>
    <row r="324" spans="1:12" hidden="1" x14ac:dyDescent="0.25">
      <c r="A324" s="228" t="s">
        <v>2</v>
      </c>
      <c r="B324" s="263" t="s">
        <v>83</v>
      </c>
      <c r="C324" s="230" t="s">
        <v>209</v>
      </c>
      <c r="D324" s="230" t="s">
        <v>210</v>
      </c>
      <c r="E324" s="229" t="s">
        <v>17</v>
      </c>
      <c r="F324" s="231">
        <v>104.34</v>
      </c>
      <c r="G324" s="229" t="s">
        <v>1</v>
      </c>
      <c r="H324" s="405">
        <f ca="1">INDEX(PRODUTIVIDADES!$M:$M,MATCH(tbAREAS[[#This Row],[TIPO DE ÁREA]],PRODUTIVIDADES!$B:$B,0)+MATCH(tbAREAS[[#This Row],[LOCALIDADE]],PRODUTIVIDADES!$A:$A,0)-3)*tbAREAS[[#This Row],[ÁREA EM M²]]</f>
        <v>244.15559999999999</v>
      </c>
      <c r="L324" s="391"/>
    </row>
    <row r="325" spans="1:12" hidden="1" x14ac:dyDescent="0.25">
      <c r="A325" s="228" t="s">
        <v>2</v>
      </c>
      <c r="B325" s="263" t="s">
        <v>83</v>
      </c>
      <c r="C325" s="230" t="s">
        <v>209</v>
      </c>
      <c r="D325" s="230" t="s">
        <v>210</v>
      </c>
      <c r="E325" s="229" t="s">
        <v>18</v>
      </c>
      <c r="F325" s="231">
        <v>42.52</v>
      </c>
      <c r="G325" s="229" t="s">
        <v>1</v>
      </c>
      <c r="H325" s="405">
        <f ca="1">INDEX(PRODUTIVIDADES!$M:$M,MATCH(tbAREAS[[#This Row],[TIPO DE ÁREA]],PRODUTIVIDADES!$B:$B,0)+MATCH(tbAREAS[[#This Row],[LOCALIDADE]],PRODUTIVIDADES!$A:$A,0)-3)*tbAREAS[[#This Row],[ÁREA EM M²]]</f>
        <v>1928.2820000000002</v>
      </c>
      <c r="L325" s="391"/>
    </row>
    <row r="326" spans="1:12" hidden="1" x14ac:dyDescent="0.25">
      <c r="A326" s="228" t="s">
        <v>2</v>
      </c>
      <c r="B326" s="263" t="s">
        <v>83</v>
      </c>
      <c r="C326" s="230" t="s">
        <v>209</v>
      </c>
      <c r="D326" s="230" t="s">
        <v>210</v>
      </c>
      <c r="E326" s="229" t="s">
        <v>21</v>
      </c>
      <c r="F326" s="231">
        <v>191.63</v>
      </c>
      <c r="G326" s="229" t="s">
        <v>1</v>
      </c>
      <c r="H326" s="405">
        <f ca="1">INDEX(PRODUTIVIDADES!$M:$M,MATCH(tbAREAS[[#This Row],[TIPO DE ÁREA]],PRODUTIVIDADES!$B:$B,0)+MATCH(tbAREAS[[#This Row],[LOCALIDADE]],PRODUTIVIDADES!$A:$A,0)-3)*tbAREAS[[#This Row],[ÁREA EM M²]]</f>
        <v>32.577100000000002</v>
      </c>
      <c r="L326" s="391"/>
    </row>
    <row r="327" spans="1:12" hidden="1" x14ac:dyDescent="0.25">
      <c r="A327" s="228" t="s">
        <v>2</v>
      </c>
      <c r="B327" s="263" t="s">
        <v>83</v>
      </c>
      <c r="C327" s="230" t="s">
        <v>209</v>
      </c>
      <c r="D327" s="230" t="s">
        <v>210</v>
      </c>
      <c r="E327" s="229" t="s">
        <v>22</v>
      </c>
      <c r="F327" s="231">
        <v>191.63</v>
      </c>
      <c r="G327" s="229" t="s">
        <v>1</v>
      </c>
      <c r="H327" s="405">
        <f ca="1">INDEX(PRODUTIVIDADES!$M:$M,MATCH(tbAREAS[[#This Row],[TIPO DE ÁREA]],PRODUTIVIDADES!$B:$B,0)+MATCH(tbAREAS[[#This Row],[LOCALIDADE]],PRODUTIVIDADES!$A:$A,0)-3)*tbAREAS[[#This Row],[ÁREA EM M²]]</f>
        <v>76.652000000000001</v>
      </c>
      <c r="L327" s="391"/>
    </row>
    <row r="328" spans="1:12" hidden="1" x14ac:dyDescent="0.25">
      <c r="A328" s="228" t="s">
        <v>2</v>
      </c>
      <c r="B328" s="263" t="s">
        <v>83</v>
      </c>
      <c r="C328" s="230" t="s">
        <v>211</v>
      </c>
      <c r="D328" s="230" t="s">
        <v>212</v>
      </c>
      <c r="E328" s="229" t="s">
        <v>15</v>
      </c>
      <c r="F328" s="231">
        <v>213.75</v>
      </c>
      <c r="G328" s="229" t="s">
        <v>1</v>
      </c>
      <c r="H328" s="405">
        <f ca="1">INDEX(PRODUTIVIDADES!$M:$M,MATCH(tbAREAS[[#This Row],[TIPO DE ÁREA]],PRODUTIVIDADES!$B:$B,0)+MATCH(tbAREAS[[#This Row],[LOCALIDADE]],PRODUTIVIDADES!$A:$A,0)-3)*tbAREAS[[#This Row],[ÁREA EM M²]]</f>
        <v>147.48749999999998</v>
      </c>
      <c r="L328" s="391"/>
    </row>
    <row r="329" spans="1:12" hidden="1" x14ac:dyDescent="0.25">
      <c r="A329" s="228" t="s">
        <v>2</v>
      </c>
      <c r="B329" s="263" t="s">
        <v>83</v>
      </c>
      <c r="C329" s="230" t="s">
        <v>211</v>
      </c>
      <c r="D329" s="230" t="s">
        <v>212</v>
      </c>
      <c r="E329" s="229" t="s">
        <v>21</v>
      </c>
      <c r="F329" s="231">
        <v>52.78</v>
      </c>
      <c r="G329" s="229" t="s">
        <v>1</v>
      </c>
      <c r="H329" s="405">
        <f ca="1">INDEX(PRODUTIVIDADES!$M:$M,MATCH(tbAREAS[[#This Row],[TIPO DE ÁREA]],PRODUTIVIDADES!$B:$B,0)+MATCH(tbAREAS[[#This Row],[LOCALIDADE]],PRODUTIVIDADES!$A:$A,0)-3)*tbAREAS[[#This Row],[ÁREA EM M²]]</f>
        <v>8.9726000000000017</v>
      </c>
      <c r="L329" s="391"/>
    </row>
    <row r="330" spans="1:12" hidden="1" x14ac:dyDescent="0.25">
      <c r="A330" s="228" t="s">
        <v>2</v>
      </c>
      <c r="B330" s="263" t="s">
        <v>83</v>
      </c>
      <c r="C330" s="230" t="s">
        <v>211</v>
      </c>
      <c r="D330" s="230" t="s">
        <v>212</v>
      </c>
      <c r="E330" s="229" t="s">
        <v>22</v>
      </c>
      <c r="F330" s="231">
        <v>52.78</v>
      </c>
      <c r="G330" s="229" t="s">
        <v>1</v>
      </c>
      <c r="H330" s="405">
        <f ca="1">INDEX(PRODUTIVIDADES!$M:$M,MATCH(tbAREAS[[#This Row],[TIPO DE ÁREA]],PRODUTIVIDADES!$B:$B,0)+MATCH(tbAREAS[[#This Row],[LOCALIDADE]],PRODUTIVIDADES!$A:$A,0)-3)*tbAREAS[[#This Row],[ÁREA EM M²]]</f>
        <v>21.112000000000002</v>
      </c>
      <c r="L330" s="391"/>
    </row>
    <row r="331" spans="1:12" hidden="1" x14ac:dyDescent="0.25">
      <c r="A331" s="228" t="s">
        <v>2</v>
      </c>
      <c r="B331" s="263" t="s">
        <v>83</v>
      </c>
      <c r="C331" s="230" t="s">
        <v>213</v>
      </c>
      <c r="D331" s="230" t="s">
        <v>214</v>
      </c>
      <c r="E331" s="229" t="s">
        <v>9</v>
      </c>
      <c r="F331" s="231">
        <v>46.8</v>
      </c>
      <c r="G331" s="229" t="s">
        <v>1</v>
      </c>
      <c r="H331" s="405">
        <f ca="1">INDEX(PRODUTIVIDADES!$M:$M,MATCH(tbAREAS[[#This Row],[TIPO DE ÁREA]],PRODUTIVIDADES!$B:$B,0)+MATCH(tbAREAS[[#This Row],[LOCALIDADE]],PRODUTIVIDADES!$A:$A,0)-3)*tbAREAS[[#This Row],[ÁREA EM M²]]</f>
        <v>365.03999999999996</v>
      </c>
      <c r="L331" s="391"/>
    </row>
    <row r="332" spans="1:12" hidden="1" x14ac:dyDescent="0.25">
      <c r="A332" s="228" t="s">
        <v>2</v>
      </c>
      <c r="B332" s="263" t="s">
        <v>83</v>
      </c>
      <c r="C332" s="230" t="s">
        <v>213</v>
      </c>
      <c r="D332" s="230" t="s">
        <v>214</v>
      </c>
      <c r="E332" s="229" t="s">
        <v>10</v>
      </c>
      <c r="F332" s="231">
        <v>104.58</v>
      </c>
      <c r="G332" s="229" t="s">
        <v>1</v>
      </c>
      <c r="H332" s="405">
        <f ca="1">INDEX(PRODUTIVIDADES!$M:$M,MATCH(tbAREAS[[#This Row],[TIPO DE ÁREA]],PRODUTIVIDADES!$B:$B,0)+MATCH(tbAREAS[[#This Row],[LOCALIDADE]],PRODUTIVIDADES!$A:$A,0)-3)*tbAREAS[[#This Row],[ÁREA EM M²]]</f>
        <v>326.28960000000001</v>
      </c>
      <c r="L332" s="391"/>
    </row>
    <row r="333" spans="1:12" hidden="1" x14ac:dyDescent="0.25">
      <c r="A333" s="228" t="s">
        <v>2</v>
      </c>
      <c r="B333" s="263" t="s">
        <v>83</v>
      </c>
      <c r="C333" s="230" t="s">
        <v>213</v>
      </c>
      <c r="D333" s="230" t="s">
        <v>214</v>
      </c>
      <c r="E333" s="229" t="s">
        <v>14</v>
      </c>
      <c r="F333" s="231">
        <v>100.76</v>
      </c>
      <c r="G333" s="229" t="s">
        <v>1</v>
      </c>
      <c r="H333" s="405">
        <f ca="1">INDEX(PRODUTIVIDADES!$M:$M,MATCH(tbAREAS[[#This Row],[TIPO DE ÁREA]],PRODUTIVIDADES!$B:$B,0)+MATCH(tbAREAS[[#This Row],[LOCALIDADE]],PRODUTIVIDADES!$A:$A,0)-3)*tbAREAS[[#This Row],[ÁREA EM M²]]</f>
        <v>856.46</v>
      </c>
      <c r="L333" s="391"/>
    </row>
    <row r="334" spans="1:12" hidden="1" x14ac:dyDescent="0.25">
      <c r="A334" s="228" t="s">
        <v>2</v>
      </c>
      <c r="B334" s="263" t="s">
        <v>83</v>
      </c>
      <c r="C334" s="230" t="s">
        <v>213</v>
      </c>
      <c r="D334" s="230" t="s">
        <v>214</v>
      </c>
      <c r="E334" s="229" t="s">
        <v>15</v>
      </c>
      <c r="F334" s="231">
        <v>99.5</v>
      </c>
      <c r="G334" s="229" t="s">
        <v>1</v>
      </c>
      <c r="H334" s="405">
        <f ca="1">INDEX(PRODUTIVIDADES!$M:$M,MATCH(tbAREAS[[#This Row],[TIPO DE ÁREA]],PRODUTIVIDADES!$B:$B,0)+MATCH(tbAREAS[[#This Row],[LOCALIDADE]],PRODUTIVIDADES!$A:$A,0)-3)*tbAREAS[[#This Row],[ÁREA EM M²]]</f>
        <v>68.655000000000001</v>
      </c>
      <c r="L334" s="391"/>
    </row>
    <row r="335" spans="1:12" hidden="1" x14ac:dyDescent="0.25">
      <c r="A335" s="228" t="s">
        <v>2</v>
      </c>
      <c r="B335" s="263" t="s">
        <v>83</v>
      </c>
      <c r="C335" s="230" t="s">
        <v>213</v>
      </c>
      <c r="D335" s="230" t="s">
        <v>214</v>
      </c>
      <c r="E335" s="229" t="s">
        <v>17</v>
      </c>
      <c r="F335" s="231">
        <v>22.48</v>
      </c>
      <c r="G335" s="229" t="s">
        <v>1</v>
      </c>
      <c r="H335" s="405">
        <f ca="1">INDEX(PRODUTIVIDADES!$M:$M,MATCH(tbAREAS[[#This Row],[TIPO DE ÁREA]],PRODUTIVIDADES!$B:$B,0)+MATCH(tbAREAS[[#This Row],[LOCALIDADE]],PRODUTIVIDADES!$A:$A,0)-3)*tbAREAS[[#This Row],[ÁREA EM M²]]</f>
        <v>52.603200000000001</v>
      </c>
      <c r="L335" s="391"/>
    </row>
    <row r="336" spans="1:12" hidden="1" x14ac:dyDescent="0.25">
      <c r="A336" s="228" t="s">
        <v>2</v>
      </c>
      <c r="B336" s="263" t="s">
        <v>83</v>
      </c>
      <c r="C336" s="230" t="s">
        <v>213</v>
      </c>
      <c r="D336" s="230" t="s">
        <v>214</v>
      </c>
      <c r="E336" s="229" t="s">
        <v>18</v>
      </c>
      <c r="F336" s="231">
        <v>11.85</v>
      </c>
      <c r="G336" s="229" t="s">
        <v>1</v>
      </c>
      <c r="H336" s="405">
        <f ca="1">INDEX(PRODUTIVIDADES!$M:$M,MATCH(tbAREAS[[#This Row],[TIPO DE ÁREA]],PRODUTIVIDADES!$B:$B,0)+MATCH(tbAREAS[[#This Row],[LOCALIDADE]],PRODUTIVIDADES!$A:$A,0)-3)*tbAREAS[[#This Row],[ÁREA EM M²]]</f>
        <v>537.39750000000004</v>
      </c>
      <c r="L336" s="391"/>
    </row>
    <row r="337" spans="1:12" hidden="1" x14ac:dyDescent="0.25">
      <c r="A337" s="228" t="s">
        <v>2</v>
      </c>
      <c r="B337" s="263" t="s">
        <v>83</v>
      </c>
      <c r="C337" s="230" t="s">
        <v>213</v>
      </c>
      <c r="D337" s="230" t="s">
        <v>214</v>
      </c>
      <c r="E337" s="229" t="s">
        <v>21</v>
      </c>
      <c r="F337" s="231">
        <v>48</v>
      </c>
      <c r="G337" s="229" t="s">
        <v>1</v>
      </c>
      <c r="H337" s="405">
        <f ca="1">INDEX(PRODUTIVIDADES!$M:$M,MATCH(tbAREAS[[#This Row],[TIPO DE ÁREA]],PRODUTIVIDADES!$B:$B,0)+MATCH(tbAREAS[[#This Row],[LOCALIDADE]],PRODUTIVIDADES!$A:$A,0)-3)*tbAREAS[[#This Row],[ÁREA EM M²]]</f>
        <v>8.16</v>
      </c>
      <c r="L337" s="391"/>
    </row>
    <row r="338" spans="1:12" hidden="1" x14ac:dyDescent="0.25">
      <c r="A338" s="228" t="s">
        <v>2</v>
      </c>
      <c r="B338" s="263" t="s">
        <v>83</v>
      </c>
      <c r="C338" s="230" t="s">
        <v>213</v>
      </c>
      <c r="D338" s="230" t="s">
        <v>214</v>
      </c>
      <c r="E338" s="229" t="s">
        <v>22</v>
      </c>
      <c r="F338" s="231">
        <v>48</v>
      </c>
      <c r="G338" s="229" t="s">
        <v>1</v>
      </c>
      <c r="H338" s="405">
        <f ca="1">INDEX(PRODUTIVIDADES!$M:$M,MATCH(tbAREAS[[#This Row],[TIPO DE ÁREA]],PRODUTIVIDADES!$B:$B,0)+MATCH(tbAREAS[[#This Row],[LOCALIDADE]],PRODUTIVIDADES!$A:$A,0)-3)*tbAREAS[[#This Row],[ÁREA EM M²]]</f>
        <v>19.200000000000003</v>
      </c>
      <c r="L338" s="391"/>
    </row>
    <row r="339" spans="1:12" hidden="1" x14ac:dyDescent="0.25">
      <c r="A339" s="228" t="s">
        <v>2</v>
      </c>
      <c r="B339" s="263" t="s">
        <v>83</v>
      </c>
      <c r="C339" s="230" t="s">
        <v>215</v>
      </c>
      <c r="D339" s="230" t="s">
        <v>216</v>
      </c>
      <c r="E339" s="229" t="s">
        <v>9</v>
      </c>
      <c r="F339" s="231">
        <v>37.5</v>
      </c>
      <c r="G339" s="229" t="s">
        <v>1</v>
      </c>
      <c r="H339" s="405">
        <f ca="1">INDEX(PRODUTIVIDADES!$M:$M,MATCH(tbAREAS[[#This Row],[TIPO DE ÁREA]],PRODUTIVIDADES!$B:$B,0)+MATCH(tbAREAS[[#This Row],[LOCALIDADE]],PRODUTIVIDADES!$A:$A,0)-3)*tbAREAS[[#This Row],[ÁREA EM M²]]</f>
        <v>292.5</v>
      </c>
      <c r="L339" s="391"/>
    </row>
    <row r="340" spans="1:12" hidden="1" x14ac:dyDescent="0.25">
      <c r="A340" s="228" t="s">
        <v>2</v>
      </c>
      <c r="B340" s="263" t="s">
        <v>83</v>
      </c>
      <c r="C340" s="230" t="s">
        <v>215</v>
      </c>
      <c r="D340" s="230" t="s">
        <v>216</v>
      </c>
      <c r="E340" s="229" t="s">
        <v>10</v>
      </c>
      <c r="F340" s="231">
        <v>21.02</v>
      </c>
      <c r="G340" s="229" t="s">
        <v>1</v>
      </c>
      <c r="H340" s="405">
        <f ca="1">INDEX(PRODUTIVIDADES!$M:$M,MATCH(tbAREAS[[#This Row],[TIPO DE ÁREA]],PRODUTIVIDADES!$B:$B,0)+MATCH(tbAREAS[[#This Row],[LOCALIDADE]],PRODUTIVIDADES!$A:$A,0)-3)*tbAREAS[[#This Row],[ÁREA EM M²]]</f>
        <v>65.582400000000007</v>
      </c>
      <c r="L340" s="391"/>
    </row>
    <row r="341" spans="1:12" hidden="1" x14ac:dyDescent="0.25">
      <c r="A341" s="228" t="s">
        <v>2</v>
      </c>
      <c r="B341" s="263" t="s">
        <v>83</v>
      </c>
      <c r="C341" s="230" t="s">
        <v>215</v>
      </c>
      <c r="D341" s="230" t="s">
        <v>216</v>
      </c>
      <c r="E341" s="229" t="s">
        <v>17</v>
      </c>
      <c r="F341" s="231">
        <v>6.08</v>
      </c>
      <c r="G341" s="229" t="s">
        <v>1</v>
      </c>
      <c r="H341" s="405">
        <f ca="1">INDEX(PRODUTIVIDADES!$M:$M,MATCH(tbAREAS[[#This Row],[TIPO DE ÁREA]],PRODUTIVIDADES!$B:$B,0)+MATCH(tbAREAS[[#This Row],[LOCALIDADE]],PRODUTIVIDADES!$A:$A,0)-3)*tbAREAS[[#This Row],[ÁREA EM M²]]</f>
        <v>14.2272</v>
      </c>
      <c r="L341" s="391"/>
    </row>
    <row r="342" spans="1:12" hidden="1" x14ac:dyDescent="0.25">
      <c r="A342" s="228" t="s">
        <v>2</v>
      </c>
      <c r="B342" s="263" t="s">
        <v>83</v>
      </c>
      <c r="C342" s="230" t="s">
        <v>215</v>
      </c>
      <c r="D342" s="230" t="s">
        <v>216</v>
      </c>
      <c r="E342" s="229" t="s">
        <v>18</v>
      </c>
      <c r="F342" s="231">
        <v>6.38</v>
      </c>
      <c r="G342" s="229" t="s">
        <v>1</v>
      </c>
      <c r="H342" s="405">
        <f ca="1">INDEX(PRODUTIVIDADES!$M:$M,MATCH(tbAREAS[[#This Row],[TIPO DE ÁREA]],PRODUTIVIDADES!$B:$B,0)+MATCH(tbAREAS[[#This Row],[LOCALIDADE]],PRODUTIVIDADES!$A:$A,0)-3)*tbAREAS[[#This Row],[ÁREA EM M²]]</f>
        <v>289.33300000000003</v>
      </c>
      <c r="L342" s="391"/>
    </row>
    <row r="343" spans="1:12" hidden="1" x14ac:dyDescent="0.25">
      <c r="A343" s="228" t="s">
        <v>2</v>
      </c>
      <c r="B343" s="263" t="s">
        <v>83</v>
      </c>
      <c r="C343" s="230" t="s">
        <v>215</v>
      </c>
      <c r="D343" s="230" t="s">
        <v>216</v>
      </c>
      <c r="E343" s="229" t="s">
        <v>20</v>
      </c>
      <c r="F343" s="231">
        <v>15.38</v>
      </c>
      <c r="G343" s="229" t="s">
        <v>1</v>
      </c>
      <c r="H343" s="405">
        <f ca="1">INDEX(PRODUTIVIDADES!$M:$M,MATCH(tbAREAS[[#This Row],[TIPO DE ÁREA]],PRODUTIVIDADES!$B:$B,0)+MATCH(tbAREAS[[#This Row],[LOCALIDADE]],PRODUTIVIDADES!$A:$A,0)-3)*tbAREAS[[#This Row],[ÁREA EM M²]]</f>
        <v>11.996400000000001</v>
      </c>
      <c r="L343" s="391"/>
    </row>
    <row r="344" spans="1:12" hidden="1" x14ac:dyDescent="0.25">
      <c r="A344" s="228" t="s">
        <v>2</v>
      </c>
      <c r="B344" s="263" t="s">
        <v>83</v>
      </c>
      <c r="C344" s="230" t="s">
        <v>215</v>
      </c>
      <c r="D344" s="230" t="s">
        <v>216</v>
      </c>
      <c r="E344" s="229" t="s">
        <v>21</v>
      </c>
      <c r="F344" s="231">
        <v>16.899999999999999</v>
      </c>
      <c r="G344" s="229" t="s">
        <v>1</v>
      </c>
      <c r="H344" s="405">
        <f ca="1">INDEX(PRODUTIVIDADES!$M:$M,MATCH(tbAREAS[[#This Row],[TIPO DE ÁREA]],PRODUTIVIDADES!$B:$B,0)+MATCH(tbAREAS[[#This Row],[LOCALIDADE]],PRODUTIVIDADES!$A:$A,0)-3)*tbAREAS[[#This Row],[ÁREA EM M²]]</f>
        <v>2.8729999999999998</v>
      </c>
      <c r="L344" s="391"/>
    </row>
    <row r="345" spans="1:12" hidden="1" x14ac:dyDescent="0.25">
      <c r="A345" s="228" t="s">
        <v>2</v>
      </c>
      <c r="B345" s="263" t="s">
        <v>83</v>
      </c>
      <c r="C345" s="230" t="s">
        <v>215</v>
      </c>
      <c r="D345" s="230" t="s">
        <v>216</v>
      </c>
      <c r="E345" s="229" t="s">
        <v>22</v>
      </c>
      <c r="F345" s="231">
        <v>16.899999999999999</v>
      </c>
      <c r="G345" s="229" t="s">
        <v>1</v>
      </c>
      <c r="H345" s="405">
        <f ca="1">INDEX(PRODUTIVIDADES!$M:$M,MATCH(tbAREAS[[#This Row],[TIPO DE ÁREA]],PRODUTIVIDADES!$B:$B,0)+MATCH(tbAREAS[[#This Row],[LOCALIDADE]],PRODUTIVIDADES!$A:$A,0)-3)*tbAREAS[[#This Row],[ÁREA EM M²]]</f>
        <v>6.76</v>
      </c>
      <c r="L345" s="391"/>
    </row>
    <row r="346" spans="1:12" hidden="1" x14ac:dyDescent="0.25">
      <c r="A346" s="228" t="s">
        <v>2</v>
      </c>
      <c r="B346" s="263" t="s">
        <v>83</v>
      </c>
      <c r="C346" s="230" t="s">
        <v>217</v>
      </c>
      <c r="D346" s="230" t="s">
        <v>218</v>
      </c>
      <c r="E346" s="229" t="s">
        <v>9</v>
      </c>
      <c r="F346" s="231">
        <v>173.34</v>
      </c>
      <c r="G346" s="229" t="s">
        <v>1</v>
      </c>
      <c r="H346" s="405">
        <f ca="1">INDEX(PRODUTIVIDADES!$M:$M,MATCH(tbAREAS[[#This Row],[TIPO DE ÁREA]],PRODUTIVIDADES!$B:$B,0)+MATCH(tbAREAS[[#This Row],[LOCALIDADE]],PRODUTIVIDADES!$A:$A,0)-3)*tbAREAS[[#This Row],[ÁREA EM M²]]</f>
        <v>1352.0519999999999</v>
      </c>
      <c r="L346" s="391"/>
    </row>
    <row r="347" spans="1:12" hidden="1" x14ac:dyDescent="0.25">
      <c r="A347" s="228" t="s">
        <v>2</v>
      </c>
      <c r="B347" s="263" t="s">
        <v>83</v>
      </c>
      <c r="C347" s="230" t="s">
        <v>217</v>
      </c>
      <c r="D347" s="230" t="s">
        <v>218</v>
      </c>
      <c r="E347" s="229" t="s">
        <v>10</v>
      </c>
      <c r="F347" s="231">
        <v>461.15</v>
      </c>
      <c r="G347" s="229" t="s">
        <v>1</v>
      </c>
      <c r="H347" s="405">
        <f ca="1">INDEX(PRODUTIVIDADES!$M:$M,MATCH(tbAREAS[[#This Row],[TIPO DE ÁREA]],PRODUTIVIDADES!$B:$B,0)+MATCH(tbAREAS[[#This Row],[LOCALIDADE]],PRODUTIVIDADES!$A:$A,0)-3)*tbAREAS[[#This Row],[ÁREA EM M²]]</f>
        <v>1438.788</v>
      </c>
      <c r="L347" s="391"/>
    </row>
    <row r="348" spans="1:12" hidden="1" x14ac:dyDescent="0.25">
      <c r="A348" s="228" t="s">
        <v>2</v>
      </c>
      <c r="B348" s="263" t="s">
        <v>83</v>
      </c>
      <c r="C348" s="230" t="s">
        <v>217</v>
      </c>
      <c r="D348" s="230" t="s">
        <v>218</v>
      </c>
      <c r="E348" s="229" t="s">
        <v>13</v>
      </c>
      <c r="F348" s="231">
        <v>27.21</v>
      </c>
      <c r="G348" s="229" t="s">
        <v>1</v>
      </c>
      <c r="H348" s="405">
        <f ca="1">INDEX(PRODUTIVIDADES!$M:$M,MATCH(tbAREAS[[#This Row],[TIPO DE ÁREA]],PRODUTIVIDADES!$B:$B,0)+MATCH(tbAREAS[[#This Row],[LOCALIDADE]],PRODUTIVIDADES!$A:$A,0)-3)*tbAREAS[[#This Row],[ÁREA EM M²]]</f>
        <v>84.895200000000003</v>
      </c>
      <c r="L348" s="391"/>
    </row>
    <row r="349" spans="1:12" hidden="1" x14ac:dyDescent="0.25">
      <c r="A349" s="228" t="s">
        <v>2</v>
      </c>
      <c r="B349" s="263" t="s">
        <v>83</v>
      </c>
      <c r="C349" s="230" t="s">
        <v>217</v>
      </c>
      <c r="D349" s="230" t="s">
        <v>218</v>
      </c>
      <c r="E349" s="229" t="s">
        <v>14</v>
      </c>
      <c r="F349" s="231">
        <v>201.21</v>
      </c>
      <c r="G349" s="229" t="s">
        <v>1</v>
      </c>
      <c r="H349" s="405">
        <f ca="1">INDEX(PRODUTIVIDADES!$M:$M,MATCH(tbAREAS[[#This Row],[TIPO DE ÁREA]],PRODUTIVIDADES!$B:$B,0)+MATCH(tbAREAS[[#This Row],[LOCALIDADE]],PRODUTIVIDADES!$A:$A,0)-3)*tbAREAS[[#This Row],[ÁREA EM M²]]</f>
        <v>1710.2850000000001</v>
      </c>
      <c r="L349" s="391"/>
    </row>
    <row r="350" spans="1:12" hidden="1" x14ac:dyDescent="0.25">
      <c r="A350" s="228" t="s">
        <v>2</v>
      </c>
      <c r="B350" s="263" t="s">
        <v>83</v>
      </c>
      <c r="C350" s="230" t="s">
        <v>217</v>
      </c>
      <c r="D350" s="230" t="s">
        <v>218</v>
      </c>
      <c r="E350" s="229" t="s">
        <v>15</v>
      </c>
      <c r="F350" s="231">
        <v>6.74</v>
      </c>
      <c r="G350" s="229" t="s">
        <v>1</v>
      </c>
      <c r="H350" s="405">
        <f ca="1">INDEX(PRODUTIVIDADES!$M:$M,MATCH(tbAREAS[[#This Row],[TIPO DE ÁREA]],PRODUTIVIDADES!$B:$B,0)+MATCH(tbAREAS[[#This Row],[LOCALIDADE]],PRODUTIVIDADES!$A:$A,0)-3)*tbAREAS[[#This Row],[ÁREA EM M²]]</f>
        <v>4.6505999999999998</v>
      </c>
      <c r="L350" s="391"/>
    </row>
    <row r="351" spans="1:12" hidden="1" x14ac:dyDescent="0.25">
      <c r="A351" s="228" t="s">
        <v>2</v>
      </c>
      <c r="B351" s="263" t="s">
        <v>83</v>
      </c>
      <c r="C351" s="230" t="s">
        <v>217</v>
      </c>
      <c r="D351" s="230" t="s">
        <v>218</v>
      </c>
      <c r="E351" s="229" t="s">
        <v>16</v>
      </c>
      <c r="F351" s="231">
        <v>139.37</v>
      </c>
      <c r="G351" s="229" t="s">
        <v>1</v>
      </c>
      <c r="H351" s="405">
        <f ca="1">INDEX(PRODUTIVIDADES!$M:$M,MATCH(tbAREAS[[#This Row],[TIPO DE ÁREA]],PRODUTIVIDADES!$B:$B,0)+MATCH(tbAREAS[[#This Row],[LOCALIDADE]],PRODUTIVIDADES!$A:$A,0)-3)*tbAREAS[[#This Row],[ÁREA EM M²]]</f>
        <v>108.7086</v>
      </c>
      <c r="L351" s="391"/>
    </row>
    <row r="352" spans="1:12" hidden="1" x14ac:dyDescent="0.25">
      <c r="A352" s="228" t="s">
        <v>2</v>
      </c>
      <c r="B352" s="263" t="s">
        <v>83</v>
      </c>
      <c r="C352" s="230" t="s">
        <v>217</v>
      </c>
      <c r="D352" s="230" t="s">
        <v>218</v>
      </c>
      <c r="E352" s="229" t="s">
        <v>17</v>
      </c>
      <c r="F352" s="231">
        <v>244.49</v>
      </c>
      <c r="G352" s="229" t="s">
        <v>1</v>
      </c>
      <c r="H352" s="405">
        <f ca="1">INDEX(PRODUTIVIDADES!$M:$M,MATCH(tbAREAS[[#This Row],[TIPO DE ÁREA]],PRODUTIVIDADES!$B:$B,0)+MATCH(tbAREAS[[#This Row],[LOCALIDADE]],PRODUTIVIDADES!$A:$A,0)-3)*tbAREAS[[#This Row],[ÁREA EM M²]]</f>
        <v>572.10659999999996</v>
      </c>
      <c r="L352" s="391"/>
    </row>
    <row r="353" spans="1:12" hidden="1" x14ac:dyDescent="0.25">
      <c r="A353" s="228" t="s">
        <v>2</v>
      </c>
      <c r="B353" s="263" t="s">
        <v>83</v>
      </c>
      <c r="C353" s="230" t="s">
        <v>217</v>
      </c>
      <c r="D353" s="230" t="s">
        <v>218</v>
      </c>
      <c r="E353" s="229" t="s">
        <v>18</v>
      </c>
      <c r="F353" s="231">
        <v>35.89</v>
      </c>
      <c r="G353" s="229" t="s">
        <v>1</v>
      </c>
      <c r="H353" s="405">
        <f ca="1">INDEX(PRODUTIVIDADES!$M:$M,MATCH(tbAREAS[[#This Row],[TIPO DE ÁREA]],PRODUTIVIDADES!$B:$B,0)+MATCH(tbAREAS[[#This Row],[LOCALIDADE]],PRODUTIVIDADES!$A:$A,0)-3)*tbAREAS[[#This Row],[ÁREA EM M²]]</f>
        <v>1627.6115</v>
      </c>
      <c r="L353" s="391"/>
    </row>
    <row r="354" spans="1:12" hidden="1" x14ac:dyDescent="0.25">
      <c r="A354" s="228" t="s">
        <v>2</v>
      </c>
      <c r="B354" s="263" t="s">
        <v>83</v>
      </c>
      <c r="C354" s="230" t="s">
        <v>217</v>
      </c>
      <c r="D354" s="230" t="s">
        <v>218</v>
      </c>
      <c r="E354" s="229" t="s">
        <v>21</v>
      </c>
      <c r="F354" s="231">
        <v>313.07</v>
      </c>
      <c r="G354" s="229" t="s">
        <v>1</v>
      </c>
      <c r="H354" s="405">
        <f ca="1">INDEX(PRODUTIVIDADES!$M:$M,MATCH(tbAREAS[[#This Row],[TIPO DE ÁREA]],PRODUTIVIDADES!$B:$B,0)+MATCH(tbAREAS[[#This Row],[LOCALIDADE]],PRODUTIVIDADES!$A:$A,0)-3)*tbAREAS[[#This Row],[ÁREA EM M²]]</f>
        <v>53.221900000000005</v>
      </c>
      <c r="L354" s="391"/>
    </row>
    <row r="355" spans="1:12" hidden="1" x14ac:dyDescent="0.25">
      <c r="A355" s="228" t="s">
        <v>2</v>
      </c>
      <c r="B355" s="263" t="s">
        <v>83</v>
      </c>
      <c r="C355" s="230" t="s">
        <v>217</v>
      </c>
      <c r="D355" s="230" t="s">
        <v>218</v>
      </c>
      <c r="E355" s="229" t="s">
        <v>22</v>
      </c>
      <c r="F355" s="231">
        <v>313.07</v>
      </c>
      <c r="G355" s="229" t="s">
        <v>1</v>
      </c>
      <c r="H355" s="405">
        <f ca="1">INDEX(PRODUTIVIDADES!$M:$M,MATCH(tbAREAS[[#This Row],[TIPO DE ÁREA]],PRODUTIVIDADES!$B:$B,0)+MATCH(tbAREAS[[#This Row],[LOCALIDADE]],PRODUTIVIDADES!$A:$A,0)-3)*tbAREAS[[#This Row],[ÁREA EM M²]]</f>
        <v>125.22800000000001</v>
      </c>
      <c r="L355" s="391"/>
    </row>
    <row r="356" spans="1:12" hidden="1" x14ac:dyDescent="0.25">
      <c r="A356" s="228" t="s">
        <v>2</v>
      </c>
      <c r="B356" s="263" t="s">
        <v>83</v>
      </c>
      <c r="C356" s="230" t="s">
        <v>219</v>
      </c>
      <c r="D356" s="230" t="s">
        <v>218</v>
      </c>
      <c r="E356" s="229" t="s">
        <v>9</v>
      </c>
      <c r="F356" s="231">
        <v>45.08</v>
      </c>
      <c r="G356" s="229" t="s">
        <v>1</v>
      </c>
      <c r="H356" s="405">
        <f ca="1">INDEX(PRODUTIVIDADES!$M:$M,MATCH(tbAREAS[[#This Row],[TIPO DE ÁREA]],PRODUTIVIDADES!$B:$B,0)+MATCH(tbAREAS[[#This Row],[LOCALIDADE]],PRODUTIVIDADES!$A:$A,0)-3)*tbAREAS[[#This Row],[ÁREA EM M²]]</f>
        <v>351.62399999999997</v>
      </c>
      <c r="L356" s="391"/>
    </row>
    <row r="357" spans="1:12" hidden="1" x14ac:dyDescent="0.25">
      <c r="A357" s="228" t="s">
        <v>2</v>
      </c>
      <c r="B357" s="263" t="s">
        <v>83</v>
      </c>
      <c r="C357" s="230" t="s">
        <v>219</v>
      </c>
      <c r="D357" s="230" t="s">
        <v>218</v>
      </c>
      <c r="E357" s="229" t="s">
        <v>10</v>
      </c>
      <c r="F357" s="231">
        <v>88.34</v>
      </c>
      <c r="G357" s="229" t="s">
        <v>1</v>
      </c>
      <c r="H357" s="405">
        <f ca="1">INDEX(PRODUTIVIDADES!$M:$M,MATCH(tbAREAS[[#This Row],[TIPO DE ÁREA]],PRODUTIVIDADES!$B:$B,0)+MATCH(tbAREAS[[#This Row],[LOCALIDADE]],PRODUTIVIDADES!$A:$A,0)-3)*tbAREAS[[#This Row],[ÁREA EM M²]]</f>
        <v>275.62080000000003</v>
      </c>
      <c r="L357" s="391"/>
    </row>
    <row r="358" spans="1:12" hidden="1" x14ac:dyDescent="0.25">
      <c r="A358" s="228" t="s">
        <v>2</v>
      </c>
      <c r="B358" s="263" t="s">
        <v>83</v>
      </c>
      <c r="C358" s="230" t="s">
        <v>219</v>
      </c>
      <c r="D358" s="230" t="s">
        <v>218</v>
      </c>
      <c r="E358" s="229" t="s">
        <v>14</v>
      </c>
      <c r="F358" s="231">
        <v>71.7</v>
      </c>
      <c r="G358" s="229" t="s">
        <v>1</v>
      </c>
      <c r="H358" s="405">
        <f ca="1">INDEX(PRODUTIVIDADES!$M:$M,MATCH(tbAREAS[[#This Row],[TIPO DE ÁREA]],PRODUTIVIDADES!$B:$B,0)+MATCH(tbAREAS[[#This Row],[LOCALIDADE]],PRODUTIVIDADES!$A:$A,0)-3)*tbAREAS[[#This Row],[ÁREA EM M²]]</f>
        <v>609.45000000000005</v>
      </c>
      <c r="L358" s="391"/>
    </row>
    <row r="359" spans="1:12" hidden="1" x14ac:dyDescent="0.25">
      <c r="A359" s="228" t="s">
        <v>2</v>
      </c>
      <c r="B359" s="263" t="s">
        <v>83</v>
      </c>
      <c r="C359" s="230" t="s">
        <v>219</v>
      </c>
      <c r="D359" s="230" t="s">
        <v>218</v>
      </c>
      <c r="E359" s="229" t="s">
        <v>15</v>
      </c>
      <c r="F359" s="231">
        <v>13.93</v>
      </c>
      <c r="G359" s="229" t="s">
        <v>1</v>
      </c>
      <c r="H359" s="405">
        <f ca="1">INDEX(PRODUTIVIDADES!$M:$M,MATCH(tbAREAS[[#This Row],[TIPO DE ÁREA]],PRODUTIVIDADES!$B:$B,0)+MATCH(tbAREAS[[#This Row],[LOCALIDADE]],PRODUTIVIDADES!$A:$A,0)-3)*tbAREAS[[#This Row],[ÁREA EM M²]]</f>
        <v>9.611699999999999</v>
      </c>
      <c r="L359" s="391"/>
    </row>
    <row r="360" spans="1:12" hidden="1" x14ac:dyDescent="0.25">
      <c r="A360" s="228" t="s">
        <v>2</v>
      </c>
      <c r="B360" s="263" t="s">
        <v>83</v>
      </c>
      <c r="C360" s="230" t="s">
        <v>219</v>
      </c>
      <c r="D360" s="230" t="s">
        <v>218</v>
      </c>
      <c r="E360" s="229" t="s">
        <v>16</v>
      </c>
      <c r="F360" s="231">
        <v>120.38</v>
      </c>
      <c r="G360" s="229" t="s">
        <v>1</v>
      </c>
      <c r="H360" s="405">
        <f ca="1">INDEX(PRODUTIVIDADES!$M:$M,MATCH(tbAREAS[[#This Row],[TIPO DE ÁREA]],PRODUTIVIDADES!$B:$B,0)+MATCH(tbAREAS[[#This Row],[LOCALIDADE]],PRODUTIVIDADES!$A:$A,0)-3)*tbAREAS[[#This Row],[ÁREA EM M²]]</f>
        <v>93.8964</v>
      </c>
      <c r="L360" s="391"/>
    </row>
    <row r="361" spans="1:12" hidden="1" x14ac:dyDescent="0.25">
      <c r="A361" s="228" t="s">
        <v>2</v>
      </c>
      <c r="B361" s="263" t="s">
        <v>83</v>
      </c>
      <c r="C361" s="230" t="s">
        <v>219</v>
      </c>
      <c r="D361" s="230" t="s">
        <v>218</v>
      </c>
      <c r="E361" s="229" t="s">
        <v>18</v>
      </c>
      <c r="F361" s="231">
        <v>14.14</v>
      </c>
      <c r="G361" s="229" t="s">
        <v>1</v>
      </c>
      <c r="H361" s="405">
        <f ca="1">INDEX(PRODUTIVIDADES!$M:$M,MATCH(tbAREAS[[#This Row],[TIPO DE ÁREA]],PRODUTIVIDADES!$B:$B,0)+MATCH(tbAREAS[[#This Row],[LOCALIDADE]],PRODUTIVIDADES!$A:$A,0)-3)*tbAREAS[[#This Row],[ÁREA EM M²]]</f>
        <v>641.24900000000002</v>
      </c>
      <c r="L361" s="391"/>
    </row>
    <row r="362" spans="1:12" hidden="1" x14ac:dyDescent="0.25">
      <c r="A362" s="228" t="s">
        <v>2</v>
      </c>
      <c r="B362" s="263" t="s">
        <v>83</v>
      </c>
      <c r="C362" s="230" t="s">
        <v>219</v>
      </c>
      <c r="D362" s="230" t="s">
        <v>218</v>
      </c>
      <c r="E362" s="229" t="s">
        <v>21</v>
      </c>
      <c r="F362" s="231">
        <v>66.819999999999993</v>
      </c>
      <c r="G362" s="229" t="s">
        <v>1</v>
      </c>
      <c r="H362" s="405">
        <f ca="1">INDEX(PRODUTIVIDADES!$M:$M,MATCH(tbAREAS[[#This Row],[TIPO DE ÁREA]],PRODUTIVIDADES!$B:$B,0)+MATCH(tbAREAS[[#This Row],[LOCALIDADE]],PRODUTIVIDADES!$A:$A,0)-3)*tbAREAS[[#This Row],[ÁREA EM M²]]</f>
        <v>11.359399999999999</v>
      </c>
      <c r="L362" s="391"/>
    </row>
    <row r="363" spans="1:12" hidden="1" x14ac:dyDescent="0.25">
      <c r="A363" s="228" t="s">
        <v>2</v>
      </c>
      <c r="B363" s="263" t="s">
        <v>83</v>
      </c>
      <c r="C363" s="230" t="s">
        <v>219</v>
      </c>
      <c r="D363" s="230" t="s">
        <v>218</v>
      </c>
      <c r="E363" s="229" t="s">
        <v>22</v>
      </c>
      <c r="F363" s="231">
        <v>66.819999999999993</v>
      </c>
      <c r="G363" s="229" t="s">
        <v>1</v>
      </c>
      <c r="H363" s="405">
        <f ca="1">INDEX(PRODUTIVIDADES!$M:$M,MATCH(tbAREAS[[#This Row],[TIPO DE ÁREA]],PRODUTIVIDADES!$B:$B,0)+MATCH(tbAREAS[[#This Row],[LOCALIDADE]],PRODUTIVIDADES!$A:$A,0)-3)*tbAREAS[[#This Row],[ÁREA EM M²]]</f>
        <v>26.727999999999998</v>
      </c>
      <c r="L363" s="391"/>
    </row>
    <row r="364" spans="1:12" hidden="1" x14ac:dyDescent="0.25">
      <c r="A364" s="228" t="s">
        <v>2</v>
      </c>
      <c r="B364" s="234" t="s">
        <v>83</v>
      </c>
      <c r="C364" s="230" t="s">
        <v>220</v>
      </c>
      <c r="D364" s="230" t="s">
        <v>218</v>
      </c>
      <c r="E364" s="229" t="s">
        <v>10</v>
      </c>
      <c r="F364" s="231">
        <v>193.69</v>
      </c>
      <c r="G364" s="229" t="s">
        <v>1</v>
      </c>
      <c r="H364" s="405">
        <f ca="1">INDEX(PRODUTIVIDADES!$M:$M,MATCH(tbAREAS[[#This Row],[TIPO DE ÁREA]],PRODUTIVIDADES!$B:$B,0)+MATCH(tbAREAS[[#This Row],[LOCALIDADE]],PRODUTIVIDADES!$A:$A,0)-3)*tbAREAS[[#This Row],[ÁREA EM M²]]</f>
        <v>604.31280000000004</v>
      </c>
      <c r="L364" s="391"/>
    </row>
    <row r="365" spans="1:12" hidden="1" x14ac:dyDescent="0.25">
      <c r="A365" s="228" t="s">
        <v>2</v>
      </c>
      <c r="B365" s="234" t="s">
        <v>83</v>
      </c>
      <c r="C365" s="230" t="s">
        <v>220</v>
      </c>
      <c r="D365" s="230" t="s">
        <v>218</v>
      </c>
      <c r="E365" s="229" t="s">
        <v>14</v>
      </c>
      <c r="F365" s="231">
        <v>95.87</v>
      </c>
      <c r="G365" s="229" t="s">
        <v>1</v>
      </c>
      <c r="H365" s="405">
        <f ca="1">INDEX(PRODUTIVIDADES!$M:$M,MATCH(tbAREAS[[#This Row],[TIPO DE ÁREA]],PRODUTIVIDADES!$B:$B,0)+MATCH(tbAREAS[[#This Row],[LOCALIDADE]],PRODUTIVIDADES!$A:$A,0)-3)*tbAREAS[[#This Row],[ÁREA EM M²]]</f>
        <v>814.89499999999998</v>
      </c>
      <c r="L365" s="391"/>
    </row>
    <row r="366" spans="1:12" hidden="1" x14ac:dyDescent="0.25">
      <c r="A366" s="228" t="s">
        <v>2</v>
      </c>
      <c r="B366" s="234" t="s">
        <v>83</v>
      </c>
      <c r="C366" s="230" t="s">
        <v>220</v>
      </c>
      <c r="D366" s="230" t="s">
        <v>218</v>
      </c>
      <c r="E366" s="229" t="s">
        <v>17</v>
      </c>
      <c r="F366" s="231">
        <v>76.28</v>
      </c>
      <c r="G366" s="229" t="s">
        <v>1</v>
      </c>
      <c r="H366" s="405">
        <f ca="1">INDEX(PRODUTIVIDADES!$M:$M,MATCH(tbAREAS[[#This Row],[TIPO DE ÁREA]],PRODUTIVIDADES!$B:$B,0)+MATCH(tbAREAS[[#This Row],[LOCALIDADE]],PRODUTIVIDADES!$A:$A,0)-3)*tbAREAS[[#This Row],[ÁREA EM M²]]</f>
        <v>178.49519999999998</v>
      </c>
      <c r="L366" s="391"/>
    </row>
    <row r="367" spans="1:12" hidden="1" x14ac:dyDescent="0.25">
      <c r="A367" s="228" t="s">
        <v>2</v>
      </c>
      <c r="B367" s="234" t="s">
        <v>83</v>
      </c>
      <c r="C367" s="230" t="s">
        <v>220</v>
      </c>
      <c r="D367" s="230" t="s">
        <v>218</v>
      </c>
      <c r="E367" s="229" t="s">
        <v>18</v>
      </c>
      <c r="F367" s="231">
        <v>6.98</v>
      </c>
      <c r="G367" s="229" t="s">
        <v>1</v>
      </c>
      <c r="H367" s="405">
        <f ca="1">INDEX(PRODUTIVIDADES!$M:$M,MATCH(tbAREAS[[#This Row],[TIPO DE ÁREA]],PRODUTIVIDADES!$B:$B,0)+MATCH(tbAREAS[[#This Row],[LOCALIDADE]],PRODUTIVIDADES!$A:$A,0)-3)*tbAREAS[[#This Row],[ÁREA EM M²]]</f>
        <v>316.54300000000001</v>
      </c>
      <c r="L367" s="391"/>
    </row>
    <row r="368" spans="1:12" hidden="1" x14ac:dyDescent="0.25">
      <c r="A368" s="228" t="s">
        <v>2</v>
      </c>
      <c r="B368" s="234" t="s">
        <v>83</v>
      </c>
      <c r="C368" s="230" t="s">
        <v>221</v>
      </c>
      <c r="D368" s="230" t="s">
        <v>218</v>
      </c>
      <c r="E368" s="229" t="s">
        <v>10</v>
      </c>
      <c r="F368" s="231">
        <v>138.71</v>
      </c>
      <c r="G368" s="229" t="s">
        <v>1</v>
      </c>
      <c r="H368" s="405">
        <f ca="1">INDEX(PRODUTIVIDADES!$M:$M,MATCH(tbAREAS[[#This Row],[TIPO DE ÁREA]],PRODUTIVIDADES!$B:$B,0)+MATCH(tbAREAS[[#This Row],[LOCALIDADE]],PRODUTIVIDADES!$A:$A,0)-3)*tbAREAS[[#This Row],[ÁREA EM M²]]</f>
        <v>432.77520000000004</v>
      </c>
      <c r="L368" s="391"/>
    </row>
    <row r="369" spans="1:12" hidden="1" x14ac:dyDescent="0.25">
      <c r="A369" s="228" t="s">
        <v>2</v>
      </c>
      <c r="B369" s="234" t="s">
        <v>83</v>
      </c>
      <c r="C369" s="230" t="s">
        <v>221</v>
      </c>
      <c r="D369" s="230" t="s">
        <v>218</v>
      </c>
      <c r="E369" s="229" t="s">
        <v>14</v>
      </c>
      <c r="F369" s="231">
        <v>147.68</v>
      </c>
      <c r="G369" s="229" t="s">
        <v>1</v>
      </c>
      <c r="H369" s="405">
        <f ca="1">INDEX(PRODUTIVIDADES!$M:$M,MATCH(tbAREAS[[#This Row],[TIPO DE ÁREA]],PRODUTIVIDADES!$B:$B,0)+MATCH(tbAREAS[[#This Row],[LOCALIDADE]],PRODUTIVIDADES!$A:$A,0)-3)*tbAREAS[[#This Row],[ÁREA EM M²]]</f>
        <v>1255.28</v>
      </c>
      <c r="L369" s="391"/>
    </row>
    <row r="370" spans="1:12" hidden="1" x14ac:dyDescent="0.25">
      <c r="A370" s="228" t="s">
        <v>2</v>
      </c>
      <c r="B370" s="234" t="s">
        <v>83</v>
      </c>
      <c r="C370" s="230" t="s">
        <v>221</v>
      </c>
      <c r="D370" s="230" t="s">
        <v>218</v>
      </c>
      <c r="E370" s="229" t="s">
        <v>15</v>
      </c>
      <c r="F370" s="231">
        <v>346.66</v>
      </c>
      <c r="G370" s="229" t="s">
        <v>1</v>
      </c>
      <c r="H370" s="405">
        <f ca="1">INDEX(PRODUTIVIDADES!$M:$M,MATCH(tbAREAS[[#This Row],[TIPO DE ÁREA]],PRODUTIVIDADES!$B:$B,0)+MATCH(tbAREAS[[#This Row],[LOCALIDADE]],PRODUTIVIDADES!$A:$A,0)-3)*tbAREAS[[#This Row],[ÁREA EM M²]]</f>
        <v>239.19540000000001</v>
      </c>
      <c r="L370" s="391"/>
    </row>
    <row r="371" spans="1:12" hidden="1" x14ac:dyDescent="0.25">
      <c r="A371" s="228" t="s">
        <v>2</v>
      </c>
      <c r="B371" s="234" t="s">
        <v>83</v>
      </c>
      <c r="C371" s="230" t="s">
        <v>221</v>
      </c>
      <c r="D371" s="230" t="s">
        <v>218</v>
      </c>
      <c r="E371" s="229" t="s">
        <v>17</v>
      </c>
      <c r="F371" s="231">
        <v>35.93</v>
      </c>
      <c r="G371" s="229" t="s">
        <v>1</v>
      </c>
      <c r="H371" s="405">
        <f ca="1">INDEX(PRODUTIVIDADES!$M:$M,MATCH(tbAREAS[[#This Row],[TIPO DE ÁREA]],PRODUTIVIDADES!$B:$B,0)+MATCH(tbAREAS[[#This Row],[LOCALIDADE]],PRODUTIVIDADES!$A:$A,0)-3)*tbAREAS[[#This Row],[ÁREA EM M²]]</f>
        <v>84.0762</v>
      </c>
      <c r="L371" s="391"/>
    </row>
    <row r="372" spans="1:12" hidden="1" x14ac:dyDescent="0.25">
      <c r="A372" s="228" t="s">
        <v>2</v>
      </c>
      <c r="B372" s="234" t="s">
        <v>83</v>
      </c>
      <c r="C372" s="230" t="s">
        <v>221</v>
      </c>
      <c r="D372" s="230" t="s">
        <v>218</v>
      </c>
      <c r="E372" s="229" t="s">
        <v>18</v>
      </c>
      <c r="F372" s="231">
        <v>61.93</v>
      </c>
      <c r="G372" s="229" t="s">
        <v>1</v>
      </c>
      <c r="H372" s="405">
        <f ca="1">INDEX(PRODUTIVIDADES!$M:$M,MATCH(tbAREAS[[#This Row],[TIPO DE ÁREA]],PRODUTIVIDADES!$B:$B,0)+MATCH(tbAREAS[[#This Row],[LOCALIDADE]],PRODUTIVIDADES!$A:$A,0)-3)*tbAREAS[[#This Row],[ÁREA EM M²]]</f>
        <v>2808.5255000000002</v>
      </c>
      <c r="L372" s="391"/>
    </row>
    <row r="373" spans="1:12" hidden="1" x14ac:dyDescent="0.25">
      <c r="A373" s="228" t="s">
        <v>2</v>
      </c>
      <c r="B373" s="234" t="s">
        <v>83</v>
      </c>
      <c r="C373" s="230" t="s">
        <v>222</v>
      </c>
      <c r="D373" s="230" t="s">
        <v>218</v>
      </c>
      <c r="E373" s="229" t="s">
        <v>9</v>
      </c>
      <c r="F373" s="231">
        <v>47.77</v>
      </c>
      <c r="G373" s="229" t="s">
        <v>1</v>
      </c>
      <c r="H373" s="405">
        <f ca="1">INDEX(PRODUTIVIDADES!$M:$M,MATCH(tbAREAS[[#This Row],[TIPO DE ÁREA]],PRODUTIVIDADES!$B:$B,0)+MATCH(tbAREAS[[#This Row],[LOCALIDADE]],PRODUTIVIDADES!$A:$A,0)-3)*tbAREAS[[#This Row],[ÁREA EM M²]]</f>
        <v>372.60599999999999</v>
      </c>
      <c r="L373" s="391"/>
    </row>
    <row r="374" spans="1:12" hidden="1" x14ac:dyDescent="0.25">
      <c r="A374" s="228" t="s">
        <v>2</v>
      </c>
      <c r="B374" s="234" t="s">
        <v>83</v>
      </c>
      <c r="C374" s="230" t="s">
        <v>222</v>
      </c>
      <c r="D374" s="230" t="s">
        <v>218</v>
      </c>
      <c r="E374" s="229" t="s">
        <v>10</v>
      </c>
      <c r="F374" s="231">
        <v>69.78</v>
      </c>
      <c r="G374" s="229" t="s">
        <v>1</v>
      </c>
      <c r="H374" s="405">
        <f ca="1">INDEX(PRODUTIVIDADES!$M:$M,MATCH(tbAREAS[[#This Row],[TIPO DE ÁREA]],PRODUTIVIDADES!$B:$B,0)+MATCH(tbAREAS[[#This Row],[LOCALIDADE]],PRODUTIVIDADES!$A:$A,0)-3)*tbAREAS[[#This Row],[ÁREA EM M²]]</f>
        <v>217.71360000000001</v>
      </c>
      <c r="L374" s="391"/>
    </row>
    <row r="375" spans="1:12" hidden="1" x14ac:dyDescent="0.25">
      <c r="A375" s="228" t="s">
        <v>2</v>
      </c>
      <c r="B375" s="234" t="s">
        <v>83</v>
      </c>
      <c r="C375" s="230" t="s">
        <v>222</v>
      </c>
      <c r="D375" s="230" t="s">
        <v>218</v>
      </c>
      <c r="E375" s="229" t="s">
        <v>15</v>
      </c>
      <c r="F375" s="231">
        <v>126.47</v>
      </c>
      <c r="G375" s="229" t="s">
        <v>1</v>
      </c>
      <c r="H375" s="405">
        <f ca="1">INDEX(PRODUTIVIDADES!$M:$M,MATCH(tbAREAS[[#This Row],[TIPO DE ÁREA]],PRODUTIVIDADES!$B:$B,0)+MATCH(tbAREAS[[#This Row],[LOCALIDADE]],PRODUTIVIDADES!$A:$A,0)-3)*tbAREAS[[#This Row],[ÁREA EM M²]]</f>
        <v>87.264299999999992</v>
      </c>
      <c r="L375" s="391"/>
    </row>
    <row r="376" spans="1:12" hidden="1" x14ac:dyDescent="0.25">
      <c r="A376" s="228" t="s">
        <v>2</v>
      </c>
      <c r="B376" s="234" t="s">
        <v>83</v>
      </c>
      <c r="C376" s="230" t="s">
        <v>222</v>
      </c>
      <c r="D376" s="230" t="s">
        <v>218</v>
      </c>
      <c r="E376" s="229" t="s">
        <v>16</v>
      </c>
      <c r="F376" s="231">
        <v>60.14</v>
      </c>
      <c r="G376" s="229" t="s">
        <v>1</v>
      </c>
      <c r="H376" s="405">
        <f ca="1">INDEX(PRODUTIVIDADES!$M:$M,MATCH(tbAREAS[[#This Row],[TIPO DE ÁREA]],PRODUTIVIDADES!$B:$B,0)+MATCH(tbAREAS[[#This Row],[LOCALIDADE]],PRODUTIVIDADES!$A:$A,0)-3)*tbAREAS[[#This Row],[ÁREA EM M²]]</f>
        <v>46.909200000000006</v>
      </c>
      <c r="L376" s="391"/>
    </row>
    <row r="377" spans="1:12" hidden="1" x14ac:dyDescent="0.25">
      <c r="A377" s="228" t="s">
        <v>2</v>
      </c>
      <c r="B377" s="234" t="s">
        <v>83</v>
      </c>
      <c r="C377" s="230" t="s">
        <v>222</v>
      </c>
      <c r="D377" s="230" t="s">
        <v>218</v>
      </c>
      <c r="E377" s="229" t="s">
        <v>17</v>
      </c>
      <c r="F377" s="231">
        <v>47.77</v>
      </c>
      <c r="G377" s="229" t="s">
        <v>1</v>
      </c>
      <c r="H377" s="405">
        <f ca="1">INDEX(PRODUTIVIDADES!$M:$M,MATCH(tbAREAS[[#This Row],[TIPO DE ÁREA]],PRODUTIVIDADES!$B:$B,0)+MATCH(tbAREAS[[#This Row],[LOCALIDADE]],PRODUTIVIDADES!$A:$A,0)-3)*tbAREAS[[#This Row],[ÁREA EM M²]]</f>
        <v>111.7818</v>
      </c>
      <c r="L377" s="391"/>
    </row>
    <row r="378" spans="1:12" hidden="1" x14ac:dyDescent="0.25">
      <c r="A378" s="228" t="s">
        <v>2</v>
      </c>
      <c r="B378" s="234" t="s">
        <v>83</v>
      </c>
      <c r="C378" s="230" t="s">
        <v>222</v>
      </c>
      <c r="D378" s="230" t="s">
        <v>218</v>
      </c>
      <c r="E378" s="229" t="s">
        <v>18</v>
      </c>
      <c r="F378" s="231">
        <v>44.67</v>
      </c>
      <c r="G378" s="229" t="s">
        <v>1</v>
      </c>
      <c r="H378" s="405">
        <f ca="1">INDEX(PRODUTIVIDADES!$M:$M,MATCH(tbAREAS[[#This Row],[TIPO DE ÁREA]],PRODUTIVIDADES!$B:$B,0)+MATCH(tbAREAS[[#This Row],[LOCALIDADE]],PRODUTIVIDADES!$A:$A,0)-3)*tbAREAS[[#This Row],[ÁREA EM M²]]</f>
        <v>2025.7845000000002</v>
      </c>
      <c r="L378" s="391"/>
    </row>
    <row r="379" spans="1:12" hidden="1" x14ac:dyDescent="0.25">
      <c r="A379" s="228" t="s">
        <v>2</v>
      </c>
      <c r="B379" s="234" t="s">
        <v>83</v>
      </c>
      <c r="C379" s="230" t="s">
        <v>223</v>
      </c>
      <c r="D379" s="230" t="s">
        <v>218</v>
      </c>
      <c r="E379" s="229" t="s">
        <v>10</v>
      </c>
      <c r="F379" s="231">
        <v>20.010000000000002</v>
      </c>
      <c r="G379" s="229" t="s">
        <v>1</v>
      </c>
      <c r="H379" s="405">
        <f ca="1">INDEX(PRODUTIVIDADES!$M:$M,MATCH(tbAREAS[[#This Row],[TIPO DE ÁREA]],PRODUTIVIDADES!$B:$B,0)+MATCH(tbAREAS[[#This Row],[LOCALIDADE]],PRODUTIVIDADES!$A:$A,0)-3)*tbAREAS[[#This Row],[ÁREA EM M²]]</f>
        <v>62.431200000000004</v>
      </c>
      <c r="L379" s="391"/>
    </row>
    <row r="380" spans="1:12" hidden="1" x14ac:dyDescent="0.25">
      <c r="A380" s="228" t="s">
        <v>2</v>
      </c>
      <c r="B380" s="234" t="s">
        <v>83</v>
      </c>
      <c r="C380" s="230" t="s">
        <v>223</v>
      </c>
      <c r="D380" s="230" t="s">
        <v>218</v>
      </c>
      <c r="E380" s="229" t="s">
        <v>15</v>
      </c>
      <c r="F380" s="231">
        <v>68.72</v>
      </c>
      <c r="G380" s="229" t="s">
        <v>1</v>
      </c>
      <c r="H380" s="405">
        <f ca="1">INDEX(PRODUTIVIDADES!$M:$M,MATCH(tbAREAS[[#This Row],[TIPO DE ÁREA]],PRODUTIVIDADES!$B:$B,0)+MATCH(tbAREAS[[#This Row],[LOCALIDADE]],PRODUTIVIDADES!$A:$A,0)-3)*tbAREAS[[#This Row],[ÁREA EM M²]]</f>
        <v>47.416799999999995</v>
      </c>
      <c r="L380" s="391"/>
    </row>
    <row r="381" spans="1:12" hidden="1" x14ac:dyDescent="0.25">
      <c r="A381" s="228" t="s">
        <v>2</v>
      </c>
      <c r="B381" s="234" t="s">
        <v>83</v>
      </c>
      <c r="C381" s="230" t="s">
        <v>223</v>
      </c>
      <c r="D381" s="230" t="s">
        <v>218</v>
      </c>
      <c r="E381" s="229" t="s">
        <v>18</v>
      </c>
      <c r="F381" s="231">
        <v>2.5299999999999998</v>
      </c>
      <c r="G381" s="229" t="s">
        <v>1</v>
      </c>
      <c r="H381" s="405">
        <f ca="1">INDEX(PRODUTIVIDADES!$M:$M,MATCH(tbAREAS[[#This Row],[TIPO DE ÁREA]],PRODUTIVIDADES!$B:$B,0)+MATCH(tbAREAS[[#This Row],[LOCALIDADE]],PRODUTIVIDADES!$A:$A,0)-3)*tbAREAS[[#This Row],[ÁREA EM M²]]</f>
        <v>114.7355</v>
      </c>
      <c r="L381" s="391"/>
    </row>
    <row r="382" spans="1:12" hidden="1" x14ac:dyDescent="0.25">
      <c r="A382" s="228" t="s">
        <v>2</v>
      </c>
      <c r="B382" s="234" t="s">
        <v>83</v>
      </c>
      <c r="C382" s="230" t="s">
        <v>223</v>
      </c>
      <c r="D382" s="230" t="s">
        <v>218</v>
      </c>
      <c r="E382" s="229" t="s">
        <v>21</v>
      </c>
      <c r="F382" s="231">
        <v>9.56</v>
      </c>
      <c r="G382" s="229" t="s">
        <v>1</v>
      </c>
      <c r="H382" s="405">
        <f ca="1">INDEX(PRODUTIVIDADES!$M:$M,MATCH(tbAREAS[[#This Row],[TIPO DE ÁREA]],PRODUTIVIDADES!$B:$B,0)+MATCH(tbAREAS[[#This Row],[LOCALIDADE]],PRODUTIVIDADES!$A:$A,0)-3)*tbAREAS[[#This Row],[ÁREA EM M²]]</f>
        <v>1.6252000000000002</v>
      </c>
      <c r="L382" s="391"/>
    </row>
    <row r="383" spans="1:12" hidden="1" x14ac:dyDescent="0.25">
      <c r="A383" s="228" t="s">
        <v>2</v>
      </c>
      <c r="B383" s="234" t="s">
        <v>83</v>
      </c>
      <c r="C383" s="230" t="s">
        <v>223</v>
      </c>
      <c r="D383" s="230" t="s">
        <v>218</v>
      </c>
      <c r="E383" s="229" t="s">
        <v>22</v>
      </c>
      <c r="F383" s="231">
        <v>9.56</v>
      </c>
      <c r="G383" s="229" t="s">
        <v>1</v>
      </c>
      <c r="H383" s="405">
        <f ca="1">INDEX(PRODUTIVIDADES!$M:$M,MATCH(tbAREAS[[#This Row],[TIPO DE ÁREA]],PRODUTIVIDADES!$B:$B,0)+MATCH(tbAREAS[[#This Row],[LOCALIDADE]],PRODUTIVIDADES!$A:$A,0)-3)*tbAREAS[[#This Row],[ÁREA EM M²]]</f>
        <v>3.8240000000000003</v>
      </c>
      <c r="L383" s="391"/>
    </row>
    <row r="384" spans="1:12" hidden="1" x14ac:dyDescent="0.25">
      <c r="A384" s="228" t="s">
        <v>2</v>
      </c>
      <c r="B384" s="234" t="s">
        <v>83</v>
      </c>
      <c r="C384" s="230" t="s">
        <v>224</v>
      </c>
      <c r="D384" s="230" t="s">
        <v>225</v>
      </c>
      <c r="E384" s="229" t="s">
        <v>9</v>
      </c>
      <c r="F384" s="231">
        <v>33.17</v>
      </c>
      <c r="G384" s="229" t="s">
        <v>1</v>
      </c>
      <c r="H384" s="405">
        <f ca="1">INDEX(PRODUTIVIDADES!$M:$M,MATCH(tbAREAS[[#This Row],[TIPO DE ÁREA]],PRODUTIVIDADES!$B:$B,0)+MATCH(tbAREAS[[#This Row],[LOCALIDADE]],PRODUTIVIDADES!$A:$A,0)-3)*tbAREAS[[#This Row],[ÁREA EM M²]]</f>
        <v>258.726</v>
      </c>
      <c r="L384" s="391"/>
    </row>
    <row r="385" spans="1:12" hidden="1" x14ac:dyDescent="0.25">
      <c r="A385" s="228" t="s">
        <v>2</v>
      </c>
      <c r="B385" s="234" t="s">
        <v>83</v>
      </c>
      <c r="C385" s="230" t="s">
        <v>224</v>
      </c>
      <c r="D385" s="230" t="s">
        <v>225</v>
      </c>
      <c r="E385" s="229" t="s">
        <v>10</v>
      </c>
      <c r="F385" s="231">
        <v>385.13</v>
      </c>
      <c r="G385" s="229" t="s">
        <v>1</v>
      </c>
      <c r="H385" s="405">
        <f ca="1">INDEX(PRODUTIVIDADES!$M:$M,MATCH(tbAREAS[[#This Row],[TIPO DE ÁREA]],PRODUTIVIDADES!$B:$B,0)+MATCH(tbAREAS[[#This Row],[LOCALIDADE]],PRODUTIVIDADES!$A:$A,0)-3)*tbAREAS[[#This Row],[ÁREA EM M²]]</f>
        <v>1201.6056000000001</v>
      </c>
      <c r="L385" s="391"/>
    </row>
    <row r="386" spans="1:12" hidden="1" x14ac:dyDescent="0.25">
      <c r="A386" s="228" t="s">
        <v>2</v>
      </c>
      <c r="B386" s="234" t="s">
        <v>83</v>
      </c>
      <c r="C386" s="230" t="s">
        <v>224</v>
      </c>
      <c r="D386" s="230" t="s">
        <v>225</v>
      </c>
      <c r="E386" s="229" t="s">
        <v>14</v>
      </c>
      <c r="F386" s="231">
        <v>217.91000000000003</v>
      </c>
      <c r="G386" s="229" t="s">
        <v>1</v>
      </c>
      <c r="H386" s="405">
        <f ca="1">INDEX(PRODUTIVIDADES!$M:$M,MATCH(tbAREAS[[#This Row],[TIPO DE ÁREA]],PRODUTIVIDADES!$B:$B,0)+MATCH(tbAREAS[[#This Row],[LOCALIDADE]],PRODUTIVIDADES!$A:$A,0)-3)*tbAREAS[[#This Row],[ÁREA EM M²]]</f>
        <v>1852.2350000000001</v>
      </c>
      <c r="L386" s="391"/>
    </row>
    <row r="387" spans="1:12" hidden="1" x14ac:dyDescent="0.25">
      <c r="A387" s="228" t="s">
        <v>2</v>
      </c>
      <c r="B387" s="234" t="s">
        <v>83</v>
      </c>
      <c r="C387" s="230" t="s">
        <v>224</v>
      </c>
      <c r="D387" s="230" t="s">
        <v>225</v>
      </c>
      <c r="E387" s="229" t="s">
        <v>17</v>
      </c>
      <c r="F387" s="231">
        <v>92.58</v>
      </c>
      <c r="G387" s="229" t="s">
        <v>1</v>
      </c>
      <c r="H387" s="405">
        <f ca="1">INDEX(PRODUTIVIDADES!$M:$M,MATCH(tbAREAS[[#This Row],[TIPO DE ÁREA]],PRODUTIVIDADES!$B:$B,0)+MATCH(tbAREAS[[#This Row],[LOCALIDADE]],PRODUTIVIDADES!$A:$A,0)-3)*tbAREAS[[#This Row],[ÁREA EM M²]]</f>
        <v>216.63719999999998</v>
      </c>
      <c r="L387" s="391"/>
    </row>
    <row r="388" spans="1:12" hidden="1" x14ac:dyDescent="0.25">
      <c r="A388" s="228" t="s">
        <v>2</v>
      </c>
      <c r="B388" s="234" t="s">
        <v>83</v>
      </c>
      <c r="C388" s="230" t="s">
        <v>224</v>
      </c>
      <c r="D388" s="230" t="s">
        <v>225</v>
      </c>
      <c r="E388" s="229" t="s">
        <v>18</v>
      </c>
      <c r="F388" s="231">
        <v>26.97</v>
      </c>
      <c r="G388" s="229" t="s">
        <v>1</v>
      </c>
      <c r="H388" s="405">
        <f ca="1">INDEX(PRODUTIVIDADES!$M:$M,MATCH(tbAREAS[[#This Row],[TIPO DE ÁREA]],PRODUTIVIDADES!$B:$B,0)+MATCH(tbAREAS[[#This Row],[LOCALIDADE]],PRODUTIVIDADES!$A:$A,0)-3)*tbAREAS[[#This Row],[ÁREA EM M²]]</f>
        <v>1223.0895</v>
      </c>
      <c r="L388" s="391"/>
    </row>
    <row r="389" spans="1:12" hidden="1" x14ac:dyDescent="0.25">
      <c r="A389" s="228" t="s">
        <v>2</v>
      </c>
      <c r="B389" s="234" t="s">
        <v>83</v>
      </c>
      <c r="C389" s="230" t="s">
        <v>224</v>
      </c>
      <c r="D389" s="230" t="s">
        <v>225</v>
      </c>
      <c r="E389" s="229" t="s">
        <v>20</v>
      </c>
      <c r="F389" s="231">
        <v>18.079999999999998</v>
      </c>
      <c r="G389" s="229" t="s">
        <v>1</v>
      </c>
      <c r="H389" s="405">
        <f ca="1">INDEX(PRODUTIVIDADES!$M:$M,MATCH(tbAREAS[[#This Row],[TIPO DE ÁREA]],PRODUTIVIDADES!$B:$B,0)+MATCH(tbAREAS[[#This Row],[LOCALIDADE]],PRODUTIVIDADES!$A:$A,0)-3)*tbAREAS[[#This Row],[ÁREA EM M²]]</f>
        <v>14.102399999999999</v>
      </c>
      <c r="L389" s="391"/>
    </row>
    <row r="390" spans="1:12" hidden="1" x14ac:dyDescent="0.25">
      <c r="A390" s="228" t="s">
        <v>2</v>
      </c>
      <c r="B390" s="234" t="s">
        <v>83</v>
      </c>
      <c r="C390" s="230" t="s">
        <v>224</v>
      </c>
      <c r="D390" s="230" t="s">
        <v>225</v>
      </c>
      <c r="E390" s="229" t="s">
        <v>21</v>
      </c>
      <c r="F390" s="231">
        <v>177.51</v>
      </c>
      <c r="G390" s="229" t="s">
        <v>1</v>
      </c>
      <c r="H390" s="405">
        <f ca="1">INDEX(PRODUTIVIDADES!$M:$M,MATCH(tbAREAS[[#This Row],[TIPO DE ÁREA]],PRODUTIVIDADES!$B:$B,0)+MATCH(tbAREAS[[#This Row],[LOCALIDADE]],PRODUTIVIDADES!$A:$A,0)-3)*tbAREAS[[#This Row],[ÁREA EM M²]]</f>
        <v>30.1767</v>
      </c>
      <c r="L390" s="391"/>
    </row>
    <row r="391" spans="1:12" hidden="1" x14ac:dyDescent="0.25">
      <c r="A391" s="228" t="s">
        <v>2</v>
      </c>
      <c r="B391" s="234" t="s">
        <v>83</v>
      </c>
      <c r="C391" s="230" t="s">
        <v>224</v>
      </c>
      <c r="D391" s="230" t="s">
        <v>225</v>
      </c>
      <c r="E391" s="229" t="s">
        <v>22</v>
      </c>
      <c r="F391" s="231">
        <v>177.51</v>
      </c>
      <c r="G391" s="229" t="s">
        <v>1</v>
      </c>
      <c r="H391" s="405">
        <f ca="1">INDEX(PRODUTIVIDADES!$M:$M,MATCH(tbAREAS[[#This Row],[TIPO DE ÁREA]],PRODUTIVIDADES!$B:$B,0)+MATCH(tbAREAS[[#This Row],[LOCALIDADE]],PRODUTIVIDADES!$A:$A,0)-3)*tbAREAS[[#This Row],[ÁREA EM M²]]</f>
        <v>71.004000000000005</v>
      </c>
      <c r="L391" s="391"/>
    </row>
    <row r="392" spans="1:12" hidden="1" x14ac:dyDescent="0.25">
      <c r="A392" s="228" t="s">
        <v>2</v>
      </c>
      <c r="B392" s="234" t="s">
        <v>83</v>
      </c>
      <c r="C392" s="230" t="s">
        <v>226</v>
      </c>
      <c r="D392" s="230" t="s">
        <v>227</v>
      </c>
      <c r="E392" s="229" t="s">
        <v>10</v>
      </c>
      <c r="F392" s="231">
        <v>142.59</v>
      </c>
      <c r="G392" s="229" t="s">
        <v>1</v>
      </c>
      <c r="H392" s="405">
        <f ca="1">INDEX(PRODUTIVIDADES!$M:$M,MATCH(tbAREAS[[#This Row],[TIPO DE ÁREA]],PRODUTIVIDADES!$B:$B,0)+MATCH(tbAREAS[[#This Row],[LOCALIDADE]],PRODUTIVIDADES!$A:$A,0)-3)*tbAREAS[[#This Row],[ÁREA EM M²]]</f>
        <v>444.88080000000002</v>
      </c>
      <c r="L392" s="391"/>
    </row>
    <row r="393" spans="1:12" hidden="1" x14ac:dyDescent="0.25">
      <c r="A393" s="228" t="s">
        <v>2</v>
      </c>
      <c r="B393" s="234" t="s">
        <v>83</v>
      </c>
      <c r="C393" s="230" t="s">
        <v>226</v>
      </c>
      <c r="D393" s="230" t="s">
        <v>227</v>
      </c>
      <c r="E393" s="229" t="s">
        <v>14</v>
      </c>
      <c r="F393" s="231">
        <v>144.88</v>
      </c>
      <c r="G393" s="229" t="s">
        <v>1</v>
      </c>
      <c r="H393" s="405">
        <f ca="1">INDEX(PRODUTIVIDADES!$M:$M,MATCH(tbAREAS[[#This Row],[TIPO DE ÁREA]],PRODUTIVIDADES!$B:$B,0)+MATCH(tbAREAS[[#This Row],[LOCALIDADE]],PRODUTIVIDADES!$A:$A,0)-3)*tbAREAS[[#This Row],[ÁREA EM M²]]</f>
        <v>1231.48</v>
      </c>
      <c r="L393" s="391"/>
    </row>
    <row r="394" spans="1:12" hidden="1" x14ac:dyDescent="0.25">
      <c r="A394" s="228" t="s">
        <v>2</v>
      </c>
      <c r="B394" s="234" t="s">
        <v>83</v>
      </c>
      <c r="C394" s="230" t="s">
        <v>226</v>
      </c>
      <c r="D394" s="230" t="s">
        <v>227</v>
      </c>
      <c r="E394" s="229" t="s">
        <v>17</v>
      </c>
      <c r="F394" s="231">
        <v>95.64</v>
      </c>
      <c r="G394" s="229" t="s">
        <v>1</v>
      </c>
      <c r="H394" s="405">
        <f ca="1">INDEX(PRODUTIVIDADES!$M:$M,MATCH(tbAREAS[[#This Row],[TIPO DE ÁREA]],PRODUTIVIDADES!$B:$B,0)+MATCH(tbAREAS[[#This Row],[LOCALIDADE]],PRODUTIVIDADES!$A:$A,0)-3)*tbAREAS[[#This Row],[ÁREA EM M²]]</f>
        <v>223.79759999999999</v>
      </c>
      <c r="L394" s="391"/>
    </row>
    <row r="395" spans="1:12" hidden="1" x14ac:dyDescent="0.25">
      <c r="A395" s="228" t="s">
        <v>2</v>
      </c>
      <c r="B395" s="234" t="s">
        <v>83</v>
      </c>
      <c r="C395" s="230" t="s">
        <v>226</v>
      </c>
      <c r="D395" s="230" t="s">
        <v>227</v>
      </c>
      <c r="E395" s="229" t="s">
        <v>18</v>
      </c>
      <c r="F395" s="231">
        <v>46.5</v>
      </c>
      <c r="G395" s="229" t="s">
        <v>1</v>
      </c>
      <c r="H395" s="405">
        <f ca="1">INDEX(PRODUTIVIDADES!$M:$M,MATCH(tbAREAS[[#This Row],[TIPO DE ÁREA]],PRODUTIVIDADES!$B:$B,0)+MATCH(tbAREAS[[#This Row],[LOCALIDADE]],PRODUTIVIDADES!$A:$A,0)-3)*tbAREAS[[#This Row],[ÁREA EM M²]]</f>
        <v>2108.7750000000001</v>
      </c>
      <c r="L395" s="391"/>
    </row>
    <row r="396" spans="1:12" hidden="1" x14ac:dyDescent="0.25">
      <c r="A396" s="228" t="s">
        <v>2</v>
      </c>
      <c r="B396" s="234" t="s">
        <v>83</v>
      </c>
      <c r="C396" s="230" t="s">
        <v>226</v>
      </c>
      <c r="D396" s="230" t="s">
        <v>227</v>
      </c>
      <c r="E396" s="229" t="s">
        <v>21</v>
      </c>
      <c r="F396" s="231">
        <v>49</v>
      </c>
      <c r="G396" s="229" t="s">
        <v>1</v>
      </c>
      <c r="H396" s="405">
        <f ca="1">INDEX(PRODUTIVIDADES!$M:$M,MATCH(tbAREAS[[#This Row],[TIPO DE ÁREA]],PRODUTIVIDADES!$B:$B,0)+MATCH(tbAREAS[[#This Row],[LOCALIDADE]],PRODUTIVIDADES!$A:$A,0)-3)*tbAREAS[[#This Row],[ÁREA EM M²]]</f>
        <v>8.33</v>
      </c>
      <c r="L396" s="391"/>
    </row>
    <row r="397" spans="1:12" hidden="1" x14ac:dyDescent="0.25">
      <c r="A397" s="228" t="s">
        <v>2</v>
      </c>
      <c r="B397" s="234" t="s">
        <v>83</v>
      </c>
      <c r="C397" s="230" t="s">
        <v>226</v>
      </c>
      <c r="D397" s="230" t="s">
        <v>227</v>
      </c>
      <c r="E397" s="229" t="s">
        <v>22</v>
      </c>
      <c r="F397" s="231">
        <v>49</v>
      </c>
      <c r="G397" s="229" t="s">
        <v>1</v>
      </c>
      <c r="H397" s="405">
        <f ca="1">INDEX(PRODUTIVIDADES!$M:$M,MATCH(tbAREAS[[#This Row],[TIPO DE ÁREA]],PRODUTIVIDADES!$B:$B,0)+MATCH(tbAREAS[[#This Row],[LOCALIDADE]],PRODUTIVIDADES!$A:$A,0)-3)*tbAREAS[[#This Row],[ÁREA EM M²]]</f>
        <v>19.600000000000001</v>
      </c>
      <c r="L397" s="391"/>
    </row>
    <row r="398" spans="1:12" hidden="1" x14ac:dyDescent="0.25">
      <c r="A398" s="228" t="s">
        <v>2</v>
      </c>
      <c r="B398" s="234" t="s">
        <v>83</v>
      </c>
      <c r="C398" s="230" t="s">
        <v>228</v>
      </c>
      <c r="D398" s="230" t="s">
        <v>227</v>
      </c>
      <c r="E398" s="229" t="s">
        <v>15</v>
      </c>
      <c r="F398" s="231">
        <v>232.5</v>
      </c>
      <c r="G398" s="229" t="s">
        <v>1</v>
      </c>
      <c r="H398" s="405">
        <f ca="1">INDEX(PRODUTIVIDADES!$M:$M,MATCH(tbAREAS[[#This Row],[TIPO DE ÁREA]],PRODUTIVIDADES!$B:$B,0)+MATCH(tbAREAS[[#This Row],[LOCALIDADE]],PRODUTIVIDADES!$A:$A,0)-3)*tbAREAS[[#This Row],[ÁREA EM M²]]</f>
        <v>160.42499999999998</v>
      </c>
      <c r="L398" s="391"/>
    </row>
    <row r="399" spans="1:12" hidden="1" x14ac:dyDescent="0.25">
      <c r="A399" s="228" t="s">
        <v>2</v>
      </c>
      <c r="B399" s="234" t="s">
        <v>83</v>
      </c>
      <c r="C399" s="230" t="s">
        <v>228</v>
      </c>
      <c r="D399" s="230" t="s">
        <v>227</v>
      </c>
      <c r="E399" s="229" t="s">
        <v>17</v>
      </c>
      <c r="F399" s="231">
        <v>169.43</v>
      </c>
      <c r="G399" s="229" t="s">
        <v>1</v>
      </c>
      <c r="H399" s="405">
        <f ca="1">INDEX(PRODUTIVIDADES!$M:$M,MATCH(tbAREAS[[#This Row],[TIPO DE ÁREA]],PRODUTIVIDADES!$B:$B,0)+MATCH(tbAREAS[[#This Row],[LOCALIDADE]],PRODUTIVIDADES!$A:$A,0)-3)*tbAREAS[[#This Row],[ÁREA EM M²]]</f>
        <v>396.46620000000001</v>
      </c>
      <c r="L399" s="391"/>
    </row>
    <row r="400" spans="1:12" hidden="1" x14ac:dyDescent="0.25">
      <c r="A400" s="228" t="s">
        <v>2</v>
      </c>
      <c r="B400" s="234" t="s">
        <v>83</v>
      </c>
      <c r="C400" s="230" t="s">
        <v>229</v>
      </c>
      <c r="D400" s="230" t="s">
        <v>227</v>
      </c>
      <c r="E400" s="229" t="s">
        <v>10</v>
      </c>
      <c r="F400" s="231">
        <v>22.85</v>
      </c>
      <c r="G400" s="229" t="s">
        <v>1</v>
      </c>
      <c r="H400" s="405">
        <f ca="1">INDEX(PRODUTIVIDADES!$M:$M,MATCH(tbAREAS[[#This Row],[TIPO DE ÁREA]],PRODUTIVIDADES!$B:$B,0)+MATCH(tbAREAS[[#This Row],[LOCALIDADE]],PRODUTIVIDADES!$A:$A,0)-3)*tbAREAS[[#This Row],[ÁREA EM M²]]</f>
        <v>71.292000000000002</v>
      </c>
      <c r="L400" s="391"/>
    </row>
    <row r="401" spans="1:12" hidden="1" x14ac:dyDescent="0.25">
      <c r="A401" s="228" t="s">
        <v>2</v>
      </c>
      <c r="B401" s="234" t="s">
        <v>83</v>
      </c>
      <c r="C401" s="230" t="s">
        <v>229</v>
      </c>
      <c r="D401" s="230" t="s">
        <v>227</v>
      </c>
      <c r="E401" s="229" t="s">
        <v>14</v>
      </c>
      <c r="F401" s="231">
        <v>91.75</v>
      </c>
      <c r="G401" s="229" t="s">
        <v>1</v>
      </c>
      <c r="H401" s="405">
        <f ca="1">INDEX(PRODUTIVIDADES!$M:$M,MATCH(tbAREAS[[#This Row],[TIPO DE ÁREA]],PRODUTIVIDADES!$B:$B,0)+MATCH(tbAREAS[[#This Row],[LOCALIDADE]],PRODUTIVIDADES!$A:$A,0)-3)*tbAREAS[[#This Row],[ÁREA EM M²]]</f>
        <v>779.875</v>
      </c>
      <c r="L401" s="391"/>
    </row>
    <row r="402" spans="1:12" hidden="1" x14ac:dyDescent="0.25">
      <c r="A402" s="228" t="s">
        <v>2</v>
      </c>
      <c r="B402" s="234" t="s">
        <v>83</v>
      </c>
      <c r="C402" s="230" t="s">
        <v>229</v>
      </c>
      <c r="D402" s="230" t="s">
        <v>227</v>
      </c>
      <c r="E402" s="229" t="s">
        <v>17</v>
      </c>
      <c r="F402" s="231">
        <v>4.8</v>
      </c>
      <c r="G402" s="229" t="s">
        <v>1</v>
      </c>
      <c r="H402" s="405">
        <f ca="1">INDEX(PRODUTIVIDADES!$M:$M,MATCH(tbAREAS[[#This Row],[TIPO DE ÁREA]],PRODUTIVIDADES!$B:$B,0)+MATCH(tbAREAS[[#This Row],[LOCALIDADE]],PRODUTIVIDADES!$A:$A,0)-3)*tbAREAS[[#This Row],[ÁREA EM M²]]</f>
        <v>11.231999999999999</v>
      </c>
      <c r="L402" s="391"/>
    </row>
    <row r="403" spans="1:12" hidden="1" x14ac:dyDescent="0.25">
      <c r="A403" s="228" t="s">
        <v>2</v>
      </c>
      <c r="B403" s="234" t="s">
        <v>83</v>
      </c>
      <c r="C403" s="230" t="s">
        <v>229</v>
      </c>
      <c r="D403" s="230" t="s">
        <v>227</v>
      </c>
      <c r="E403" s="229" t="s">
        <v>18</v>
      </c>
      <c r="F403" s="231">
        <v>12.09</v>
      </c>
      <c r="G403" s="229" t="s">
        <v>1</v>
      </c>
      <c r="H403" s="405">
        <f ca="1">INDEX(PRODUTIVIDADES!$M:$M,MATCH(tbAREAS[[#This Row],[TIPO DE ÁREA]],PRODUTIVIDADES!$B:$B,0)+MATCH(tbAREAS[[#This Row],[LOCALIDADE]],PRODUTIVIDADES!$A:$A,0)-3)*tbAREAS[[#This Row],[ÁREA EM M²]]</f>
        <v>548.28150000000005</v>
      </c>
      <c r="L403" s="391"/>
    </row>
    <row r="404" spans="1:12" hidden="1" x14ac:dyDescent="0.25">
      <c r="A404" s="228" t="s">
        <v>2</v>
      </c>
      <c r="B404" s="234" t="s">
        <v>83</v>
      </c>
      <c r="C404" s="230" t="s">
        <v>229</v>
      </c>
      <c r="D404" s="230" t="s">
        <v>227</v>
      </c>
      <c r="E404" s="229" t="s">
        <v>21</v>
      </c>
      <c r="F404" s="231">
        <v>17.14</v>
      </c>
      <c r="G404" s="229" t="s">
        <v>1</v>
      </c>
      <c r="H404" s="405">
        <f ca="1">INDEX(PRODUTIVIDADES!$M:$M,MATCH(tbAREAS[[#This Row],[TIPO DE ÁREA]],PRODUTIVIDADES!$B:$B,0)+MATCH(tbAREAS[[#This Row],[LOCALIDADE]],PRODUTIVIDADES!$A:$A,0)-3)*tbAREAS[[#This Row],[ÁREA EM M²]]</f>
        <v>2.9138000000000002</v>
      </c>
      <c r="L404" s="391"/>
    </row>
    <row r="405" spans="1:12" hidden="1" x14ac:dyDescent="0.25">
      <c r="A405" s="228" t="s">
        <v>2</v>
      </c>
      <c r="B405" s="234" t="s">
        <v>83</v>
      </c>
      <c r="C405" s="230" t="s">
        <v>229</v>
      </c>
      <c r="D405" s="230" t="s">
        <v>227</v>
      </c>
      <c r="E405" s="229" t="s">
        <v>22</v>
      </c>
      <c r="F405" s="231">
        <v>17.14</v>
      </c>
      <c r="G405" s="229" t="s">
        <v>1</v>
      </c>
      <c r="H405" s="405">
        <f ca="1">INDEX(PRODUTIVIDADES!$M:$M,MATCH(tbAREAS[[#This Row],[TIPO DE ÁREA]],PRODUTIVIDADES!$B:$B,0)+MATCH(tbAREAS[[#This Row],[LOCALIDADE]],PRODUTIVIDADES!$A:$A,0)-3)*tbAREAS[[#This Row],[ÁREA EM M²]]</f>
        <v>6.8560000000000008</v>
      </c>
      <c r="L405" s="391"/>
    </row>
    <row r="406" spans="1:12" hidden="1" x14ac:dyDescent="0.25">
      <c r="A406" s="228" t="s">
        <v>2</v>
      </c>
      <c r="B406" s="234" t="s">
        <v>83</v>
      </c>
      <c r="C406" s="230" t="s">
        <v>230</v>
      </c>
      <c r="D406" s="230" t="s">
        <v>227</v>
      </c>
      <c r="E406" s="229" t="s">
        <v>9</v>
      </c>
      <c r="F406" s="231">
        <v>69.7</v>
      </c>
      <c r="G406" s="229" t="s">
        <v>1</v>
      </c>
      <c r="H406" s="405">
        <f ca="1">INDEX(PRODUTIVIDADES!$M:$M,MATCH(tbAREAS[[#This Row],[TIPO DE ÁREA]],PRODUTIVIDADES!$B:$B,0)+MATCH(tbAREAS[[#This Row],[LOCALIDADE]],PRODUTIVIDADES!$A:$A,0)-3)*tbAREAS[[#This Row],[ÁREA EM M²]]</f>
        <v>543.66</v>
      </c>
      <c r="L406" s="391"/>
    </row>
    <row r="407" spans="1:12" hidden="1" x14ac:dyDescent="0.25">
      <c r="A407" s="228" t="s">
        <v>2</v>
      </c>
      <c r="B407" s="234" t="s">
        <v>83</v>
      </c>
      <c r="C407" s="230" t="s">
        <v>230</v>
      </c>
      <c r="D407" s="230" t="s">
        <v>227</v>
      </c>
      <c r="E407" s="229" t="s">
        <v>17</v>
      </c>
      <c r="F407" s="231">
        <v>206.7</v>
      </c>
      <c r="G407" s="229" t="s">
        <v>1</v>
      </c>
      <c r="H407" s="405">
        <f ca="1">INDEX(PRODUTIVIDADES!$M:$M,MATCH(tbAREAS[[#This Row],[TIPO DE ÁREA]],PRODUTIVIDADES!$B:$B,0)+MATCH(tbAREAS[[#This Row],[LOCALIDADE]],PRODUTIVIDADES!$A:$A,0)-3)*tbAREAS[[#This Row],[ÁREA EM M²]]</f>
        <v>483.67799999999994</v>
      </c>
      <c r="L407" s="391"/>
    </row>
    <row r="408" spans="1:12" hidden="1" x14ac:dyDescent="0.25">
      <c r="A408" s="228" t="s">
        <v>2</v>
      </c>
      <c r="B408" s="234" t="s">
        <v>83</v>
      </c>
      <c r="C408" s="230" t="s">
        <v>231</v>
      </c>
      <c r="D408" s="230" t="s">
        <v>227</v>
      </c>
      <c r="E408" s="229" t="s">
        <v>15</v>
      </c>
      <c r="F408" s="231">
        <v>232.4</v>
      </c>
      <c r="G408" s="229" t="s">
        <v>1</v>
      </c>
      <c r="H408" s="405">
        <f ca="1">INDEX(PRODUTIVIDADES!$M:$M,MATCH(tbAREAS[[#This Row],[TIPO DE ÁREA]],PRODUTIVIDADES!$B:$B,0)+MATCH(tbAREAS[[#This Row],[LOCALIDADE]],PRODUTIVIDADES!$A:$A,0)-3)*tbAREAS[[#This Row],[ÁREA EM M²]]</f>
        <v>160.35599999999999</v>
      </c>
      <c r="L408" s="391"/>
    </row>
    <row r="409" spans="1:12" hidden="1" x14ac:dyDescent="0.25">
      <c r="A409" s="228" t="s">
        <v>2</v>
      </c>
      <c r="B409" s="234" t="s">
        <v>83</v>
      </c>
      <c r="C409" s="230" t="s">
        <v>231</v>
      </c>
      <c r="D409" s="230" t="s">
        <v>227</v>
      </c>
      <c r="E409" s="229" t="s">
        <v>17</v>
      </c>
      <c r="F409" s="231">
        <v>174.5</v>
      </c>
      <c r="G409" s="229" t="s">
        <v>1</v>
      </c>
      <c r="H409" s="405">
        <f ca="1">INDEX(PRODUTIVIDADES!$M:$M,MATCH(tbAREAS[[#This Row],[TIPO DE ÁREA]],PRODUTIVIDADES!$B:$B,0)+MATCH(tbAREAS[[#This Row],[LOCALIDADE]],PRODUTIVIDADES!$A:$A,0)-3)*tbAREAS[[#This Row],[ÁREA EM M²]]</f>
        <v>408.33</v>
      </c>
      <c r="L409" s="391"/>
    </row>
    <row r="410" spans="1:12" hidden="1" x14ac:dyDescent="0.25">
      <c r="A410" s="228" t="s">
        <v>2</v>
      </c>
      <c r="B410" s="234" t="s">
        <v>83</v>
      </c>
      <c r="C410" s="230" t="s">
        <v>232</v>
      </c>
      <c r="D410" s="230" t="s">
        <v>227</v>
      </c>
      <c r="E410" s="229" t="s">
        <v>15</v>
      </c>
      <c r="F410" s="231">
        <v>316.76</v>
      </c>
      <c r="G410" s="229" t="s">
        <v>1</v>
      </c>
      <c r="H410" s="405">
        <f ca="1">INDEX(PRODUTIVIDADES!$M:$M,MATCH(tbAREAS[[#This Row],[TIPO DE ÁREA]],PRODUTIVIDADES!$B:$B,0)+MATCH(tbAREAS[[#This Row],[LOCALIDADE]],PRODUTIVIDADES!$A:$A,0)-3)*tbAREAS[[#This Row],[ÁREA EM M²]]</f>
        <v>218.56439999999998</v>
      </c>
      <c r="L410" s="391"/>
    </row>
    <row r="411" spans="1:12" hidden="1" x14ac:dyDescent="0.25">
      <c r="A411" s="228" t="s">
        <v>2</v>
      </c>
      <c r="B411" s="234" t="s">
        <v>83</v>
      </c>
      <c r="C411" s="230" t="s">
        <v>232</v>
      </c>
      <c r="D411" s="230" t="s">
        <v>227</v>
      </c>
      <c r="E411" s="229" t="s">
        <v>17</v>
      </c>
      <c r="F411" s="231">
        <v>50.86</v>
      </c>
      <c r="G411" s="229" t="s">
        <v>1</v>
      </c>
      <c r="H411" s="405">
        <f ca="1">INDEX(PRODUTIVIDADES!$M:$M,MATCH(tbAREAS[[#This Row],[TIPO DE ÁREA]],PRODUTIVIDADES!$B:$B,0)+MATCH(tbAREAS[[#This Row],[LOCALIDADE]],PRODUTIVIDADES!$A:$A,0)-3)*tbAREAS[[#This Row],[ÁREA EM M²]]</f>
        <v>119.01239999999999</v>
      </c>
      <c r="L411" s="391"/>
    </row>
    <row r="412" spans="1:12" hidden="1" x14ac:dyDescent="0.25">
      <c r="A412" s="228" t="s">
        <v>2</v>
      </c>
      <c r="B412" s="234" t="s">
        <v>83</v>
      </c>
      <c r="C412" s="230" t="s">
        <v>233</v>
      </c>
      <c r="D412" s="230" t="s">
        <v>234</v>
      </c>
      <c r="E412" s="229" t="s">
        <v>10</v>
      </c>
      <c r="F412" s="231">
        <v>49.86</v>
      </c>
      <c r="G412" s="229" t="s">
        <v>1</v>
      </c>
      <c r="H412" s="405">
        <f ca="1">INDEX(PRODUTIVIDADES!$M:$M,MATCH(tbAREAS[[#This Row],[TIPO DE ÁREA]],PRODUTIVIDADES!$B:$B,0)+MATCH(tbAREAS[[#This Row],[LOCALIDADE]],PRODUTIVIDADES!$A:$A,0)-3)*tbAREAS[[#This Row],[ÁREA EM M²]]</f>
        <v>155.56319999999999</v>
      </c>
      <c r="L412" s="391"/>
    </row>
    <row r="413" spans="1:12" hidden="1" x14ac:dyDescent="0.25">
      <c r="A413" s="228" t="s">
        <v>2</v>
      </c>
      <c r="B413" s="234" t="s">
        <v>83</v>
      </c>
      <c r="C413" s="230" t="s">
        <v>233</v>
      </c>
      <c r="D413" s="230" t="s">
        <v>234</v>
      </c>
      <c r="E413" s="229" t="s">
        <v>17</v>
      </c>
      <c r="F413" s="231">
        <v>5.6</v>
      </c>
      <c r="G413" s="229" t="s">
        <v>1</v>
      </c>
      <c r="H413" s="405">
        <f ca="1">INDEX(PRODUTIVIDADES!$M:$M,MATCH(tbAREAS[[#This Row],[TIPO DE ÁREA]],PRODUTIVIDADES!$B:$B,0)+MATCH(tbAREAS[[#This Row],[LOCALIDADE]],PRODUTIVIDADES!$A:$A,0)-3)*tbAREAS[[#This Row],[ÁREA EM M²]]</f>
        <v>13.103999999999999</v>
      </c>
      <c r="L413" s="391"/>
    </row>
    <row r="414" spans="1:12" hidden="1" x14ac:dyDescent="0.25">
      <c r="A414" s="228" t="s">
        <v>2</v>
      </c>
      <c r="B414" s="234" t="s">
        <v>83</v>
      </c>
      <c r="C414" s="230" t="s">
        <v>233</v>
      </c>
      <c r="D414" s="230" t="s">
        <v>234</v>
      </c>
      <c r="E414" s="229" t="s">
        <v>18</v>
      </c>
      <c r="F414" s="231">
        <v>6.6</v>
      </c>
      <c r="G414" s="229" t="s">
        <v>1</v>
      </c>
      <c r="H414" s="405">
        <f ca="1">INDEX(PRODUTIVIDADES!$M:$M,MATCH(tbAREAS[[#This Row],[TIPO DE ÁREA]],PRODUTIVIDADES!$B:$B,0)+MATCH(tbAREAS[[#This Row],[LOCALIDADE]],PRODUTIVIDADES!$A:$A,0)-3)*tbAREAS[[#This Row],[ÁREA EM M²]]</f>
        <v>299.31</v>
      </c>
      <c r="L414" s="391"/>
    </row>
    <row r="415" spans="1:12" hidden="1" x14ac:dyDescent="0.25">
      <c r="A415" s="228" t="s">
        <v>2</v>
      </c>
      <c r="B415" s="234" t="s">
        <v>83</v>
      </c>
      <c r="C415" s="230" t="s">
        <v>233</v>
      </c>
      <c r="D415" s="230" t="s">
        <v>234</v>
      </c>
      <c r="E415" s="229" t="s">
        <v>21</v>
      </c>
      <c r="F415" s="231">
        <v>8.65</v>
      </c>
      <c r="G415" s="229" t="s">
        <v>1</v>
      </c>
      <c r="H415" s="405">
        <f ca="1">INDEX(PRODUTIVIDADES!$M:$M,MATCH(tbAREAS[[#This Row],[TIPO DE ÁREA]],PRODUTIVIDADES!$B:$B,0)+MATCH(tbAREAS[[#This Row],[LOCALIDADE]],PRODUTIVIDADES!$A:$A,0)-3)*tbAREAS[[#This Row],[ÁREA EM M²]]</f>
        <v>1.4705000000000001</v>
      </c>
      <c r="L415" s="391"/>
    </row>
    <row r="416" spans="1:12" hidden="1" x14ac:dyDescent="0.25">
      <c r="A416" s="228" t="s">
        <v>2</v>
      </c>
      <c r="B416" s="234" t="s">
        <v>83</v>
      </c>
      <c r="C416" s="230" t="s">
        <v>233</v>
      </c>
      <c r="D416" s="230" t="s">
        <v>234</v>
      </c>
      <c r="E416" s="229" t="s">
        <v>22</v>
      </c>
      <c r="F416" s="231">
        <v>8.65</v>
      </c>
      <c r="G416" s="229" t="s">
        <v>1</v>
      </c>
      <c r="H416" s="405">
        <f ca="1">INDEX(PRODUTIVIDADES!$M:$M,MATCH(tbAREAS[[#This Row],[TIPO DE ÁREA]],PRODUTIVIDADES!$B:$B,0)+MATCH(tbAREAS[[#This Row],[LOCALIDADE]],PRODUTIVIDADES!$A:$A,0)-3)*tbAREAS[[#This Row],[ÁREA EM M²]]</f>
        <v>3.4600000000000004</v>
      </c>
      <c r="L416" s="391"/>
    </row>
    <row r="417" spans="1:12" hidden="1" x14ac:dyDescent="0.25">
      <c r="A417" s="228" t="s">
        <v>2</v>
      </c>
      <c r="B417" s="234" t="s">
        <v>83</v>
      </c>
      <c r="C417" s="230" t="s">
        <v>235</v>
      </c>
      <c r="D417" s="230" t="s">
        <v>236</v>
      </c>
      <c r="E417" s="229" t="s">
        <v>10</v>
      </c>
      <c r="F417" s="231">
        <v>10.96</v>
      </c>
      <c r="G417" s="229" t="s">
        <v>1</v>
      </c>
      <c r="H417" s="405">
        <f ca="1">INDEX(PRODUTIVIDADES!$M:$M,MATCH(tbAREAS[[#This Row],[TIPO DE ÁREA]],PRODUTIVIDADES!$B:$B,0)+MATCH(tbAREAS[[#This Row],[LOCALIDADE]],PRODUTIVIDADES!$A:$A,0)-3)*tbAREAS[[#This Row],[ÁREA EM M²]]</f>
        <v>34.195200000000007</v>
      </c>
      <c r="L417" s="391"/>
    </row>
    <row r="418" spans="1:12" hidden="1" x14ac:dyDescent="0.25">
      <c r="A418" s="228" t="s">
        <v>2</v>
      </c>
      <c r="B418" s="234" t="s">
        <v>83</v>
      </c>
      <c r="C418" s="230" t="s">
        <v>235</v>
      </c>
      <c r="D418" s="230" t="s">
        <v>236</v>
      </c>
      <c r="E418" s="229" t="s">
        <v>14</v>
      </c>
      <c r="F418" s="231">
        <v>31</v>
      </c>
      <c r="G418" s="229" t="s">
        <v>1</v>
      </c>
      <c r="H418" s="405">
        <f ca="1">INDEX(PRODUTIVIDADES!$M:$M,MATCH(tbAREAS[[#This Row],[TIPO DE ÁREA]],PRODUTIVIDADES!$B:$B,0)+MATCH(tbAREAS[[#This Row],[LOCALIDADE]],PRODUTIVIDADES!$A:$A,0)-3)*tbAREAS[[#This Row],[ÁREA EM M²]]</f>
        <v>263.5</v>
      </c>
      <c r="L418" s="391"/>
    </row>
    <row r="419" spans="1:12" hidden="1" x14ac:dyDescent="0.25">
      <c r="A419" s="228" t="s">
        <v>2</v>
      </c>
      <c r="B419" s="234" t="s">
        <v>83</v>
      </c>
      <c r="C419" s="230" t="s">
        <v>235</v>
      </c>
      <c r="D419" s="230" t="s">
        <v>236</v>
      </c>
      <c r="E419" s="229" t="s">
        <v>15</v>
      </c>
      <c r="F419" s="231">
        <v>110.34</v>
      </c>
      <c r="G419" s="229" t="s">
        <v>1</v>
      </c>
      <c r="H419" s="405">
        <f ca="1">INDEX(PRODUTIVIDADES!$M:$M,MATCH(tbAREAS[[#This Row],[TIPO DE ÁREA]],PRODUTIVIDADES!$B:$B,0)+MATCH(tbAREAS[[#This Row],[LOCALIDADE]],PRODUTIVIDADES!$A:$A,0)-3)*tbAREAS[[#This Row],[ÁREA EM M²]]</f>
        <v>76.134599999999992</v>
      </c>
      <c r="L419" s="391"/>
    </row>
    <row r="420" spans="1:12" hidden="1" x14ac:dyDescent="0.25">
      <c r="A420" s="228" t="s">
        <v>2</v>
      </c>
      <c r="B420" s="234" t="s">
        <v>83</v>
      </c>
      <c r="C420" s="230" t="s">
        <v>235</v>
      </c>
      <c r="D420" s="230" t="s">
        <v>236</v>
      </c>
      <c r="E420" s="229" t="s">
        <v>18</v>
      </c>
      <c r="F420" s="231">
        <v>3.06</v>
      </c>
      <c r="G420" s="229" t="s">
        <v>1</v>
      </c>
      <c r="H420" s="405">
        <f ca="1">INDEX(PRODUTIVIDADES!$M:$M,MATCH(tbAREAS[[#This Row],[TIPO DE ÁREA]],PRODUTIVIDADES!$B:$B,0)+MATCH(tbAREAS[[#This Row],[LOCALIDADE]],PRODUTIVIDADES!$A:$A,0)-3)*tbAREAS[[#This Row],[ÁREA EM M²]]</f>
        <v>138.77100000000002</v>
      </c>
      <c r="L420" s="391"/>
    </row>
    <row r="421" spans="1:12" hidden="1" x14ac:dyDescent="0.25">
      <c r="A421" s="228" t="s">
        <v>2</v>
      </c>
      <c r="B421" s="234" t="s">
        <v>83</v>
      </c>
      <c r="C421" s="230" t="s">
        <v>235</v>
      </c>
      <c r="D421" s="230" t="s">
        <v>236</v>
      </c>
      <c r="E421" s="229" t="s">
        <v>21</v>
      </c>
      <c r="F421" s="231">
        <v>7.28</v>
      </c>
      <c r="G421" s="229" t="s">
        <v>1</v>
      </c>
      <c r="H421" s="405">
        <f ca="1">INDEX(PRODUTIVIDADES!$M:$M,MATCH(tbAREAS[[#This Row],[TIPO DE ÁREA]],PRODUTIVIDADES!$B:$B,0)+MATCH(tbAREAS[[#This Row],[LOCALIDADE]],PRODUTIVIDADES!$A:$A,0)-3)*tbAREAS[[#This Row],[ÁREA EM M²]]</f>
        <v>1.2376</v>
      </c>
      <c r="L421" s="391"/>
    </row>
    <row r="422" spans="1:12" hidden="1" x14ac:dyDescent="0.25">
      <c r="A422" s="228" t="s">
        <v>2</v>
      </c>
      <c r="B422" s="234" t="s">
        <v>83</v>
      </c>
      <c r="C422" s="230" t="s">
        <v>235</v>
      </c>
      <c r="D422" s="230" t="s">
        <v>236</v>
      </c>
      <c r="E422" s="229" t="s">
        <v>22</v>
      </c>
      <c r="F422" s="231">
        <v>7.28</v>
      </c>
      <c r="G422" s="229" t="s">
        <v>1</v>
      </c>
      <c r="H422" s="405">
        <f ca="1">INDEX(PRODUTIVIDADES!$M:$M,MATCH(tbAREAS[[#This Row],[TIPO DE ÁREA]],PRODUTIVIDADES!$B:$B,0)+MATCH(tbAREAS[[#This Row],[LOCALIDADE]],PRODUTIVIDADES!$A:$A,0)-3)*tbAREAS[[#This Row],[ÁREA EM M²]]</f>
        <v>2.9120000000000004</v>
      </c>
      <c r="L422" s="391"/>
    </row>
    <row r="423" spans="1:12" hidden="1" x14ac:dyDescent="0.25">
      <c r="A423" s="228" t="s">
        <v>2</v>
      </c>
      <c r="B423" s="234" t="s">
        <v>83</v>
      </c>
      <c r="C423" s="230" t="s">
        <v>237</v>
      </c>
      <c r="D423" s="230" t="s">
        <v>238</v>
      </c>
      <c r="E423" s="229" t="s">
        <v>10</v>
      </c>
      <c r="F423" s="231">
        <v>79.069999999999993</v>
      </c>
      <c r="G423" s="229" t="s">
        <v>1</v>
      </c>
      <c r="H423" s="405">
        <f ca="1">INDEX(PRODUTIVIDADES!$M:$M,MATCH(tbAREAS[[#This Row],[TIPO DE ÁREA]],PRODUTIVIDADES!$B:$B,0)+MATCH(tbAREAS[[#This Row],[LOCALIDADE]],PRODUTIVIDADES!$A:$A,0)-3)*tbAREAS[[#This Row],[ÁREA EM M²]]</f>
        <v>246.69839999999999</v>
      </c>
      <c r="L423" s="391"/>
    </row>
    <row r="424" spans="1:12" hidden="1" x14ac:dyDescent="0.25">
      <c r="A424" s="228" t="s">
        <v>2</v>
      </c>
      <c r="B424" s="234" t="s">
        <v>83</v>
      </c>
      <c r="C424" s="230" t="s">
        <v>237</v>
      </c>
      <c r="D424" s="230" t="s">
        <v>238</v>
      </c>
      <c r="E424" s="229" t="s">
        <v>15</v>
      </c>
      <c r="F424" s="231">
        <v>17.079999999999998</v>
      </c>
      <c r="G424" s="229" t="s">
        <v>1</v>
      </c>
      <c r="H424" s="405">
        <f ca="1">INDEX(PRODUTIVIDADES!$M:$M,MATCH(tbAREAS[[#This Row],[TIPO DE ÁREA]],PRODUTIVIDADES!$B:$B,0)+MATCH(tbAREAS[[#This Row],[LOCALIDADE]],PRODUTIVIDADES!$A:$A,0)-3)*tbAREAS[[#This Row],[ÁREA EM M²]]</f>
        <v>11.785199999999998</v>
      </c>
      <c r="L424" s="391"/>
    </row>
    <row r="425" spans="1:12" hidden="1" x14ac:dyDescent="0.25">
      <c r="A425" s="228" t="s">
        <v>2</v>
      </c>
      <c r="B425" s="234" t="s">
        <v>83</v>
      </c>
      <c r="C425" s="230" t="s">
        <v>237</v>
      </c>
      <c r="D425" s="230" t="s">
        <v>238</v>
      </c>
      <c r="E425" s="229" t="s">
        <v>17</v>
      </c>
      <c r="F425" s="231">
        <v>25.34</v>
      </c>
      <c r="G425" s="229" t="s">
        <v>1</v>
      </c>
      <c r="H425" s="405">
        <f ca="1">INDEX(PRODUTIVIDADES!$M:$M,MATCH(tbAREAS[[#This Row],[TIPO DE ÁREA]],PRODUTIVIDADES!$B:$B,0)+MATCH(tbAREAS[[#This Row],[LOCALIDADE]],PRODUTIVIDADES!$A:$A,0)-3)*tbAREAS[[#This Row],[ÁREA EM M²]]</f>
        <v>59.295599999999993</v>
      </c>
      <c r="L425" s="391"/>
    </row>
    <row r="426" spans="1:12" hidden="1" x14ac:dyDescent="0.25">
      <c r="A426" s="228" t="s">
        <v>2</v>
      </c>
      <c r="B426" s="234" t="s">
        <v>83</v>
      </c>
      <c r="C426" s="230" t="s">
        <v>237</v>
      </c>
      <c r="D426" s="230" t="s">
        <v>238</v>
      </c>
      <c r="E426" s="229" t="s">
        <v>18</v>
      </c>
      <c r="F426" s="231">
        <v>29.43</v>
      </c>
      <c r="G426" s="229" t="s">
        <v>1</v>
      </c>
      <c r="H426" s="405">
        <f ca="1">INDEX(PRODUTIVIDADES!$M:$M,MATCH(tbAREAS[[#This Row],[TIPO DE ÁREA]],PRODUTIVIDADES!$B:$B,0)+MATCH(tbAREAS[[#This Row],[LOCALIDADE]],PRODUTIVIDADES!$A:$A,0)-3)*tbAREAS[[#This Row],[ÁREA EM M²]]</f>
        <v>1334.6505</v>
      </c>
      <c r="L426" s="391"/>
    </row>
    <row r="427" spans="1:12" hidden="1" x14ac:dyDescent="0.25">
      <c r="A427" s="228" t="s">
        <v>2</v>
      </c>
      <c r="B427" s="234" t="s">
        <v>83</v>
      </c>
      <c r="C427" s="230" t="s">
        <v>237</v>
      </c>
      <c r="D427" s="230" t="s">
        <v>238</v>
      </c>
      <c r="E427" s="229" t="s">
        <v>21</v>
      </c>
      <c r="F427" s="231">
        <v>32.57</v>
      </c>
      <c r="G427" s="229" t="s">
        <v>1</v>
      </c>
      <c r="H427" s="405">
        <f ca="1">INDEX(PRODUTIVIDADES!$M:$M,MATCH(tbAREAS[[#This Row],[TIPO DE ÁREA]],PRODUTIVIDADES!$B:$B,0)+MATCH(tbAREAS[[#This Row],[LOCALIDADE]],PRODUTIVIDADES!$A:$A,0)-3)*tbAREAS[[#This Row],[ÁREA EM M²]]</f>
        <v>5.5369000000000002</v>
      </c>
      <c r="L427" s="391"/>
    </row>
    <row r="428" spans="1:12" hidden="1" x14ac:dyDescent="0.25">
      <c r="A428" s="228" t="s">
        <v>2</v>
      </c>
      <c r="B428" s="234" t="s">
        <v>83</v>
      </c>
      <c r="C428" s="230" t="s">
        <v>237</v>
      </c>
      <c r="D428" s="230" t="s">
        <v>238</v>
      </c>
      <c r="E428" s="229" t="s">
        <v>22</v>
      </c>
      <c r="F428" s="231">
        <v>32.57</v>
      </c>
      <c r="G428" s="229" t="s">
        <v>1</v>
      </c>
      <c r="H428" s="405">
        <f ca="1">INDEX(PRODUTIVIDADES!$M:$M,MATCH(tbAREAS[[#This Row],[TIPO DE ÁREA]],PRODUTIVIDADES!$B:$B,0)+MATCH(tbAREAS[[#This Row],[LOCALIDADE]],PRODUTIVIDADES!$A:$A,0)-3)*tbAREAS[[#This Row],[ÁREA EM M²]]</f>
        <v>13.028</v>
      </c>
      <c r="L428" s="391"/>
    </row>
    <row r="429" spans="1:12" hidden="1" x14ac:dyDescent="0.25">
      <c r="A429" s="228" t="s">
        <v>2</v>
      </c>
      <c r="B429" s="234" t="s">
        <v>83</v>
      </c>
      <c r="C429" s="230" t="s">
        <v>239</v>
      </c>
      <c r="D429" s="230" t="s">
        <v>240</v>
      </c>
      <c r="E429" s="229" t="s">
        <v>9</v>
      </c>
      <c r="F429" s="231">
        <v>19.89</v>
      </c>
      <c r="G429" s="229" t="s">
        <v>1</v>
      </c>
      <c r="H429" s="405">
        <f ca="1">INDEX(PRODUTIVIDADES!$M:$M,MATCH(tbAREAS[[#This Row],[TIPO DE ÁREA]],PRODUTIVIDADES!$B:$B,0)+MATCH(tbAREAS[[#This Row],[LOCALIDADE]],PRODUTIVIDADES!$A:$A,0)-3)*tbAREAS[[#This Row],[ÁREA EM M²]]</f>
        <v>155.142</v>
      </c>
      <c r="L429" s="391"/>
    </row>
    <row r="430" spans="1:12" hidden="1" x14ac:dyDescent="0.25">
      <c r="A430" s="228" t="s">
        <v>2</v>
      </c>
      <c r="B430" s="234" t="s">
        <v>83</v>
      </c>
      <c r="C430" s="230" t="s">
        <v>239</v>
      </c>
      <c r="D430" s="230" t="s">
        <v>240</v>
      </c>
      <c r="E430" s="229" t="s">
        <v>10</v>
      </c>
      <c r="F430" s="231">
        <v>37.01</v>
      </c>
      <c r="G430" s="229" t="s">
        <v>1</v>
      </c>
      <c r="H430" s="405">
        <f ca="1">INDEX(PRODUTIVIDADES!$M:$M,MATCH(tbAREAS[[#This Row],[TIPO DE ÁREA]],PRODUTIVIDADES!$B:$B,0)+MATCH(tbAREAS[[#This Row],[LOCALIDADE]],PRODUTIVIDADES!$A:$A,0)-3)*tbAREAS[[#This Row],[ÁREA EM M²]]</f>
        <v>115.4712</v>
      </c>
      <c r="L430" s="391"/>
    </row>
    <row r="431" spans="1:12" hidden="1" x14ac:dyDescent="0.25">
      <c r="A431" s="228" t="s">
        <v>2</v>
      </c>
      <c r="B431" s="234" t="s">
        <v>83</v>
      </c>
      <c r="C431" s="230" t="s">
        <v>239</v>
      </c>
      <c r="D431" s="230" t="s">
        <v>240</v>
      </c>
      <c r="E431" s="229" t="s">
        <v>14</v>
      </c>
      <c r="F431" s="231">
        <v>26.52</v>
      </c>
      <c r="G431" s="229" t="s">
        <v>1</v>
      </c>
      <c r="H431" s="405">
        <f ca="1">INDEX(PRODUTIVIDADES!$M:$M,MATCH(tbAREAS[[#This Row],[TIPO DE ÁREA]],PRODUTIVIDADES!$B:$B,0)+MATCH(tbAREAS[[#This Row],[LOCALIDADE]],PRODUTIVIDADES!$A:$A,0)-3)*tbAREAS[[#This Row],[ÁREA EM M²]]</f>
        <v>225.42</v>
      </c>
      <c r="L431" s="391"/>
    </row>
    <row r="432" spans="1:12" hidden="1" x14ac:dyDescent="0.25">
      <c r="A432" s="228" t="s">
        <v>2</v>
      </c>
      <c r="B432" s="234" t="s">
        <v>83</v>
      </c>
      <c r="C432" s="230" t="s">
        <v>239</v>
      </c>
      <c r="D432" s="230" t="s">
        <v>240</v>
      </c>
      <c r="E432" s="229" t="s">
        <v>17</v>
      </c>
      <c r="F432" s="231">
        <v>16.07</v>
      </c>
      <c r="G432" s="229" t="s">
        <v>1</v>
      </c>
      <c r="H432" s="405">
        <f ca="1">INDEX(PRODUTIVIDADES!$M:$M,MATCH(tbAREAS[[#This Row],[TIPO DE ÁREA]],PRODUTIVIDADES!$B:$B,0)+MATCH(tbAREAS[[#This Row],[LOCALIDADE]],PRODUTIVIDADES!$A:$A,0)-3)*tbAREAS[[#This Row],[ÁREA EM M²]]</f>
        <v>37.6038</v>
      </c>
      <c r="L432" s="391"/>
    </row>
    <row r="433" spans="1:12" hidden="1" x14ac:dyDescent="0.25">
      <c r="A433" s="228" t="s">
        <v>2</v>
      </c>
      <c r="B433" s="234" t="s">
        <v>83</v>
      </c>
      <c r="C433" s="230" t="s">
        <v>239</v>
      </c>
      <c r="D433" s="230" t="s">
        <v>240</v>
      </c>
      <c r="E433" s="229" t="s">
        <v>18</v>
      </c>
      <c r="F433" s="231">
        <v>13.37</v>
      </c>
      <c r="G433" s="229" t="s">
        <v>1</v>
      </c>
      <c r="H433" s="405">
        <f ca="1">INDEX(PRODUTIVIDADES!$M:$M,MATCH(tbAREAS[[#This Row],[TIPO DE ÁREA]],PRODUTIVIDADES!$B:$B,0)+MATCH(tbAREAS[[#This Row],[LOCALIDADE]],PRODUTIVIDADES!$A:$A,0)-3)*tbAREAS[[#This Row],[ÁREA EM M²]]</f>
        <v>606.32949999999994</v>
      </c>
      <c r="L433" s="391"/>
    </row>
    <row r="434" spans="1:12" hidden="1" x14ac:dyDescent="0.25">
      <c r="A434" s="228" t="s">
        <v>2</v>
      </c>
      <c r="B434" s="234" t="s">
        <v>83</v>
      </c>
      <c r="C434" s="230" t="s">
        <v>239</v>
      </c>
      <c r="D434" s="230" t="s">
        <v>240</v>
      </c>
      <c r="E434" s="229" t="s">
        <v>20</v>
      </c>
      <c r="F434" s="231">
        <v>3.43</v>
      </c>
      <c r="G434" s="229" t="s">
        <v>1</v>
      </c>
      <c r="H434" s="405">
        <f ca="1">INDEX(PRODUTIVIDADES!$M:$M,MATCH(tbAREAS[[#This Row],[TIPO DE ÁREA]],PRODUTIVIDADES!$B:$B,0)+MATCH(tbAREAS[[#This Row],[LOCALIDADE]],PRODUTIVIDADES!$A:$A,0)-3)*tbAREAS[[#This Row],[ÁREA EM M²]]</f>
        <v>2.6754000000000002</v>
      </c>
      <c r="L434" s="391"/>
    </row>
    <row r="435" spans="1:12" hidden="1" x14ac:dyDescent="0.25">
      <c r="A435" s="228" t="s">
        <v>2</v>
      </c>
      <c r="B435" s="234" t="s">
        <v>83</v>
      </c>
      <c r="C435" s="230" t="s">
        <v>239</v>
      </c>
      <c r="D435" s="230" t="s">
        <v>240</v>
      </c>
      <c r="E435" s="229" t="s">
        <v>21</v>
      </c>
      <c r="F435" s="231">
        <v>18.809999999999999</v>
      </c>
      <c r="G435" s="229" t="s">
        <v>1</v>
      </c>
      <c r="H435" s="405">
        <f ca="1">INDEX(PRODUTIVIDADES!$M:$M,MATCH(tbAREAS[[#This Row],[TIPO DE ÁREA]],PRODUTIVIDADES!$B:$B,0)+MATCH(tbAREAS[[#This Row],[LOCALIDADE]],PRODUTIVIDADES!$A:$A,0)-3)*tbAREAS[[#This Row],[ÁREA EM M²]]</f>
        <v>3.1977000000000002</v>
      </c>
      <c r="L435" s="391"/>
    </row>
    <row r="436" spans="1:12" hidden="1" x14ac:dyDescent="0.25">
      <c r="A436" s="228" t="s">
        <v>2</v>
      </c>
      <c r="B436" s="234" t="s">
        <v>83</v>
      </c>
      <c r="C436" s="230" t="s">
        <v>239</v>
      </c>
      <c r="D436" s="230" t="s">
        <v>240</v>
      </c>
      <c r="E436" s="229" t="s">
        <v>22</v>
      </c>
      <c r="F436" s="231">
        <v>18.809999999999999</v>
      </c>
      <c r="G436" s="229" t="s">
        <v>1</v>
      </c>
      <c r="H436" s="405">
        <f ca="1">INDEX(PRODUTIVIDADES!$M:$M,MATCH(tbAREAS[[#This Row],[TIPO DE ÁREA]],PRODUTIVIDADES!$B:$B,0)+MATCH(tbAREAS[[#This Row],[LOCALIDADE]],PRODUTIVIDADES!$A:$A,0)-3)*tbAREAS[[#This Row],[ÁREA EM M²]]</f>
        <v>7.524</v>
      </c>
      <c r="L436" s="391"/>
    </row>
    <row r="437" spans="1:12" hidden="1" x14ac:dyDescent="0.25">
      <c r="A437" s="228" t="s">
        <v>2</v>
      </c>
      <c r="B437" s="234" t="s">
        <v>83</v>
      </c>
      <c r="C437" s="230" t="s">
        <v>241</v>
      </c>
      <c r="D437" s="230" t="s">
        <v>240</v>
      </c>
      <c r="E437" s="229" t="s">
        <v>14</v>
      </c>
      <c r="F437" s="231">
        <v>480</v>
      </c>
      <c r="G437" s="229" t="s">
        <v>1</v>
      </c>
      <c r="H437" s="405">
        <f ca="1">INDEX(PRODUTIVIDADES!$M:$M,MATCH(tbAREAS[[#This Row],[TIPO DE ÁREA]],PRODUTIVIDADES!$B:$B,0)+MATCH(tbAREAS[[#This Row],[LOCALIDADE]],PRODUTIVIDADES!$A:$A,0)-3)*tbAREAS[[#This Row],[ÁREA EM M²]]</f>
        <v>4080</v>
      </c>
      <c r="L437" s="391"/>
    </row>
    <row r="438" spans="1:12" hidden="1" x14ac:dyDescent="0.25">
      <c r="A438" s="228" t="s">
        <v>2</v>
      </c>
      <c r="B438" s="234" t="s">
        <v>83</v>
      </c>
      <c r="C438" s="230" t="s">
        <v>241</v>
      </c>
      <c r="D438" s="230" t="s">
        <v>240</v>
      </c>
      <c r="E438" s="229" t="s">
        <v>21</v>
      </c>
      <c r="F438" s="231">
        <v>19.7</v>
      </c>
      <c r="G438" s="229" t="s">
        <v>1</v>
      </c>
      <c r="H438" s="405">
        <f ca="1">INDEX(PRODUTIVIDADES!$M:$M,MATCH(tbAREAS[[#This Row],[TIPO DE ÁREA]],PRODUTIVIDADES!$B:$B,0)+MATCH(tbAREAS[[#This Row],[LOCALIDADE]],PRODUTIVIDADES!$A:$A,0)-3)*tbAREAS[[#This Row],[ÁREA EM M²]]</f>
        <v>3.3490000000000002</v>
      </c>
      <c r="L438" s="391"/>
    </row>
    <row r="439" spans="1:12" hidden="1" x14ac:dyDescent="0.25">
      <c r="A439" s="228" t="s">
        <v>2</v>
      </c>
      <c r="B439" s="234" t="s">
        <v>83</v>
      </c>
      <c r="C439" s="230" t="s">
        <v>241</v>
      </c>
      <c r="D439" s="230" t="s">
        <v>240</v>
      </c>
      <c r="E439" s="229" t="s">
        <v>22</v>
      </c>
      <c r="F439" s="231">
        <v>19.7</v>
      </c>
      <c r="G439" s="229" t="s">
        <v>1</v>
      </c>
      <c r="H439" s="405">
        <f ca="1">INDEX(PRODUTIVIDADES!$M:$M,MATCH(tbAREAS[[#This Row],[TIPO DE ÁREA]],PRODUTIVIDADES!$B:$B,0)+MATCH(tbAREAS[[#This Row],[LOCALIDADE]],PRODUTIVIDADES!$A:$A,0)-3)*tbAREAS[[#This Row],[ÁREA EM M²]]</f>
        <v>7.88</v>
      </c>
      <c r="L439" s="391"/>
    </row>
    <row r="440" spans="1:12" hidden="1" x14ac:dyDescent="0.25">
      <c r="A440" s="228" t="s">
        <v>2</v>
      </c>
      <c r="B440" s="234" t="s">
        <v>83</v>
      </c>
      <c r="C440" s="230" t="s">
        <v>242</v>
      </c>
      <c r="D440" s="230" t="s">
        <v>240</v>
      </c>
      <c r="E440" s="229" t="s">
        <v>9</v>
      </c>
      <c r="F440" s="231">
        <v>45.82</v>
      </c>
      <c r="G440" s="229" t="s">
        <v>1</v>
      </c>
      <c r="H440" s="405">
        <f ca="1">INDEX(PRODUTIVIDADES!$M:$M,MATCH(tbAREAS[[#This Row],[TIPO DE ÁREA]],PRODUTIVIDADES!$B:$B,0)+MATCH(tbAREAS[[#This Row],[LOCALIDADE]],PRODUTIVIDADES!$A:$A,0)-3)*tbAREAS[[#This Row],[ÁREA EM M²]]</f>
        <v>357.39600000000002</v>
      </c>
      <c r="L440" s="391"/>
    </row>
    <row r="441" spans="1:12" hidden="1" x14ac:dyDescent="0.25">
      <c r="A441" s="228" t="s">
        <v>2</v>
      </c>
      <c r="B441" s="234" t="s">
        <v>83</v>
      </c>
      <c r="C441" s="230" t="s">
        <v>242</v>
      </c>
      <c r="D441" s="230" t="s">
        <v>240</v>
      </c>
      <c r="E441" s="229" t="s">
        <v>10</v>
      </c>
      <c r="F441" s="231">
        <v>17.399999999999999</v>
      </c>
      <c r="G441" s="229" t="s">
        <v>1</v>
      </c>
      <c r="H441" s="405">
        <f ca="1">INDEX(PRODUTIVIDADES!$M:$M,MATCH(tbAREAS[[#This Row],[TIPO DE ÁREA]],PRODUTIVIDADES!$B:$B,0)+MATCH(tbAREAS[[#This Row],[LOCALIDADE]],PRODUTIVIDADES!$A:$A,0)-3)*tbAREAS[[#This Row],[ÁREA EM M²]]</f>
        <v>54.287999999999997</v>
      </c>
      <c r="L441" s="391"/>
    </row>
    <row r="442" spans="1:12" hidden="1" x14ac:dyDescent="0.25">
      <c r="A442" s="228" t="s">
        <v>2</v>
      </c>
      <c r="B442" s="234" t="s">
        <v>83</v>
      </c>
      <c r="C442" s="230" t="s">
        <v>242</v>
      </c>
      <c r="D442" s="230" t="s">
        <v>240</v>
      </c>
      <c r="E442" s="229" t="s">
        <v>17</v>
      </c>
      <c r="F442" s="231">
        <v>2.16</v>
      </c>
      <c r="G442" s="229" t="s">
        <v>1</v>
      </c>
      <c r="H442" s="405">
        <f ca="1">INDEX(PRODUTIVIDADES!$M:$M,MATCH(tbAREAS[[#This Row],[TIPO DE ÁREA]],PRODUTIVIDADES!$B:$B,0)+MATCH(tbAREAS[[#This Row],[LOCALIDADE]],PRODUTIVIDADES!$A:$A,0)-3)*tbAREAS[[#This Row],[ÁREA EM M²]]</f>
        <v>5.0544000000000002</v>
      </c>
      <c r="L442" s="391"/>
    </row>
    <row r="443" spans="1:12" hidden="1" x14ac:dyDescent="0.25">
      <c r="A443" s="228" t="s">
        <v>2</v>
      </c>
      <c r="B443" s="234" t="s">
        <v>83</v>
      </c>
      <c r="C443" s="230" t="s">
        <v>242</v>
      </c>
      <c r="D443" s="230" t="s">
        <v>240</v>
      </c>
      <c r="E443" s="229" t="s">
        <v>18</v>
      </c>
      <c r="F443" s="231">
        <v>2.7</v>
      </c>
      <c r="G443" s="229" t="s">
        <v>1</v>
      </c>
      <c r="H443" s="405">
        <f ca="1">INDEX(PRODUTIVIDADES!$M:$M,MATCH(tbAREAS[[#This Row],[TIPO DE ÁREA]],PRODUTIVIDADES!$B:$B,0)+MATCH(tbAREAS[[#This Row],[LOCALIDADE]],PRODUTIVIDADES!$A:$A,0)-3)*tbAREAS[[#This Row],[ÁREA EM M²]]</f>
        <v>122.44500000000001</v>
      </c>
      <c r="L443" s="391"/>
    </row>
    <row r="444" spans="1:12" hidden="1" x14ac:dyDescent="0.25">
      <c r="A444" s="228" t="s">
        <v>2</v>
      </c>
      <c r="B444" s="234" t="s">
        <v>83</v>
      </c>
      <c r="C444" s="230" t="s">
        <v>242</v>
      </c>
      <c r="D444" s="230" t="s">
        <v>240</v>
      </c>
      <c r="E444" s="229" t="s">
        <v>21</v>
      </c>
      <c r="F444" s="231">
        <v>19.7</v>
      </c>
      <c r="G444" s="229" t="s">
        <v>1</v>
      </c>
      <c r="H444" s="405">
        <f ca="1">INDEX(PRODUTIVIDADES!$M:$M,MATCH(tbAREAS[[#This Row],[TIPO DE ÁREA]],PRODUTIVIDADES!$B:$B,0)+MATCH(tbAREAS[[#This Row],[LOCALIDADE]],PRODUTIVIDADES!$A:$A,0)-3)*tbAREAS[[#This Row],[ÁREA EM M²]]</f>
        <v>3.3490000000000002</v>
      </c>
      <c r="L444" s="391"/>
    </row>
    <row r="445" spans="1:12" hidden="1" x14ac:dyDescent="0.25">
      <c r="A445" s="228" t="s">
        <v>2</v>
      </c>
      <c r="B445" s="234" t="s">
        <v>83</v>
      </c>
      <c r="C445" s="230" t="s">
        <v>242</v>
      </c>
      <c r="D445" s="230" t="s">
        <v>240</v>
      </c>
      <c r="E445" s="229" t="s">
        <v>22</v>
      </c>
      <c r="F445" s="231">
        <v>19.7</v>
      </c>
      <c r="G445" s="229" t="s">
        <v>1</v>
      </c>
      <c r="H445" s="405">
        <f ca="1">INDEX(PRODUTIVIDADES!$M:$M,MATCH(tbAREAS[[#This Row],[TIPO DE ÁREA]],PRODUTIVIDADES!$B:$B,0)+MATCH(tbAREAS[[#This Row],[LOCALIDADE]],PRODUTIVIDADES!$A:$A,0)-3)*tbAREAS[[#This Row],[ÁREA EM M²]]</f>
        <v>7.88</v>
      </c>
      <c r="L445" s="391"/>
    </row>
    <row r="446" spans="1:12" hidden="1" x14ac:dyDescent="0.25">
      <c r="A446" s="228" t="s">
        <v>2</v>
      </c>
      <c r="B446" s="234" t="s">
        <v>83</v>
      </c>
      <c r="C446" s="230" t="s">
        <v>243</v>
      </c>
      <c r="D446" s="230" t="s">
        <v>244</v>
      </c>
      <c r="E446" s="229" t="s">
        <v>9</v>
      </c>
      <c r="F446" s="231">
        <v>45.6</v>
      </c>
      <c r="G446" s="229" t="s">
        <v>1</v>
      </c>
      <c r="H446" s="405">
        <f ca="1">INDEX(PRODUTIVIDADES!$M:$M,MATCH(tbAREAS[[#This Row],[TIPO DE ÁREA]],PRODUTIVIDADES!$B:$B,0)+MATCH(tbAREAS[[#This Row],[LOCALIDADE]],PRODUTIVIDADES!$A:$A,0)-3)*tbAREAS[[#This Row],[ÁREA EM M²]]</f>
        <v>355.68</v>
      </c>
      <c r="L446" s="391"/>
    </row>
    <row r="447" spans="1:12" hidden="1" x14ac:dyDescent="0.25">
      <c r="A447" s="228" t="s">
        <v>2</v>
      </c>
      <c r="B447" s="234" t="s">
        <v>83</v>
      </c>
      <c r="C447" s="230" t="s">
        <v>243</v>
      </c>
      <c r="D447" s="230" t="s">
        <v>244</v>
      </c>
      <c r="E447" s="229" t="s">
        <v>10</v>
      </c>
      <c r="F447" s="231">
        <v>57.12</v>
      </c>
      <c r="G447" s="229" t="s">
        <v>1</v>
      </c>
      <c r="H447" s="405">
        <f ca="1">INDEX(PRODUTIVIDADES!$M:$M,MATCH(tbAREAS[[#This Row],[TIPO DE ÁREA]],PRODUTIVIDADES!$B:$B,0)+MATCH(tbAREAS[[#This Row],[LOCALIDADE]],PRODUTIVIDADES!$A:$A,0)-3)*tbAREAS[[#This Row],[ÁREA EM M²]]</f>
        <v>178.21440000000001</v>
      </c>
      <c r="L447" s="391"/>
    </row>
    <row r="448" spans="1:12" hidden="1" x14ac:dyDescent="0.25">
      <c r="A448" s="228" t="s">
        <v>2</v>
      </c>
      <c r="B448" s="234" t="s">
        <v>83</v>
      </c>
      <c r="C448" s="230" t="s">
        <v>243</v>
      </c>
      <c r="D448" s="230" t="s">
        <v>244</v>
      </c>
      <c r="E448" s="229" t="s">
        <v>14</v>
      </c>
      <c r="F448" s="231">
        <v>79.16</v>
      </c>
      <c r="G448" s="229" t="s">
        <v>1</v>
      </c>
      <c r="H448" s="405">
        <f ca="1">INDEX(PRODUTIVIDADES!$M:$M,MATCH(tbAREAS[[#This Row],[TIPO DE ÁREA]],PRODUTIVIDADES!$B:$B,0)+MATCH(tbAREAS[[#This Row],[LOCALIDADE]],PRODUTIVIDADES!$A:$A,0)-3)*tbAREAS[[#This Row],[ÁREA EM M²]]</f>
        <v>672.86</v>
      </c>
      <c r="L448" s="391"/>
    </row>
    <row r="449" spans="1:12" hidden="1" x14ac:dyDescent="0.25">
      <c r="A449" s="228" t="s">
        <v>2</v>
      </c>
      <c r="B449" s="234" t="s">
        <v>83</v>
      </c>
      <c r="C449" s="230" t="s">
        <v>243</v>
      </c>
      <c r="D449" s="230" t="s">
        <v>244</v>
      </c>
      <c r="E449" s="229" t="s">
        <v>15</v>
      </c>
      <c r="F449" s="231">
        <v>233.75</v>
      </c>
      <c r="G449" s="229" t="s">
        <v>1</v>
      </c>
      <c r="H449" s="405">
        <f ca="1">INDEX(PRODUTIVIDADES!$M:$M,MATCH(tbAREAS[[#This Row],[TIPO DE ÁREA]],PRODUTIVIDADES!$B:$B,0)+MATCH(tbAREAS[[#This Row],[LOCALIDADE]],PRODUTIVIDADES!$A:$A,0)-3)*tbAREAS[[#This Row],[ÁREA EM M²]]</f>
        <v>161.28749999999999</v>
      </c>
      <c r="L449" s="391"/>
    </row>
    <row r="450" spans="1:12" hidden="1" x14ac:dyDescent="0.25">
      <c r="A450" s="228" t="s">
        <v>2</v>
      </c>
      <c r="B450" s="234" t="s">
        <v>83</v>
      </c>
      <c r="C450" s="230" t="s">
        <v>243</v>
      </c>
      <c r="D450" s="230" t="s">
        <v>244</v>
      </c>
      <c r="E450" s="229" t="s">
        <v>17</v>
      </c>
      <c r="F450" s="231">
        <v>14.62</v>
      </c>
      <c r="G450" s="229" t="s">
        <v>1</v>
      </c>
      <c r="H450" s="405">
        <f ca="1">INDEX(PRODUTIVIDADES!$M:$M,MATCH(tbAREAS[[#This Row],[TIPO DE ÁREA]],PRODUTIVIDADES!$B:$B,0)+MATCH(tbAREAS[[#This Row],[LOCALIDADE]],PRODUTIVIDADES!$A:$A,0)-3)*tbAREAS[[#This Row],[ÁREA EM M²]]</f>
        <v>34.210799999999999</v>
      </c>
      <c r="L450" s="391"/>
    </row>
    <row r="451" spans="1:12" hidden="1" x14ac:dyDescent="0.25">
      <c r="A451" s="228" t="s">
        <v>2</v>
      </c>
      <c r="B451" s="234" t="s">
        <v>83</v>
      </c>
      <c r="C451" s="230" t="s">
        <v>243</v>
      </c>
      <c r="D451" s="230" t="s">
        <v>244</v>
      </c>
      <c r="E451" s="229" t="s">
        <v>18</v>
      </c>
      <c r="F451" s="231">
        <v>11.88</v>
      </c>
      <c r="G451" s="229" t="s">
        <v>1</v>
      </c>
      <c r="H451" s="405">
        <f ca="1">INDEX(PRODUTIVIDADES!$M:$M,MATCH(tbAREAS[[#This Row],[TIPO DE ÁREA]],PRODUTIVIDADES!$B:$B,0)+MATCH(tbAREAS[[#This Row],[LOCALIDADE]],PRODUTIVIDADES!$A:$A,0)-3)*tbAREAS[[#This Row],[ÁREA EM M²]]</f>
        <v>538.75800000000004</v>
      </c>
      <c r="L451" s="391"/>
    </row>
    <row r="452" spans="1:12" hidden="1" x14ac:dyDescent="0.25">
      <c r="A452" s="228" t="s">
        <v>2</v>
      </c>
      <c r="B452" s="234" t="s">
        <v>83</v>
      </c>
      <c r="C452" s="230" t="s">
        <v>243</v>
      </c>
      <c r="D452" s="230" t="s">
        <v>244</v>
      </c>
      <c r="E452" s="229" t="s">
        <v>21</v>
      </c>
      <c r="F452" s="231">
        <v>38.119999999999997</v>
      </c>
      <c r="G452" s="229" t="s">
        <v>1</v>
      </c>
      <c r="H452" s="405">
        <f ca="1">INDEX(PRODUTIVIDADES!$M:$M,MATCH(tbAREAS[[#This Row],[TIPO DE ÁREA]],PRODUTIVIDADES!$B:$B,0)+MATCH(tbAREAS[[#This Row],[LOCALIDADE]],PRODUTIVIDADES!$A:$A,0)-3)*tbAREAS[[#This Row],[ÁREA EM M²]]</f>
        <v>6.4804000000000004</v>
      </c>
      <c r="L452" s="391"/>
    </row>
    <row r="453" spans="1:12" hidden="1" x14ac:dyDescent="0.25">
      <c r="A453" s="228" t="s">
        <v>2</v>
      </c>
      <c r="B453" s="234" t="s">
        <v>83</v>
      </c>
      <c r="C453" s="230" t="s">
        <v>243</v>
      </c>
      <c r="D453" s="230" t="s">
        <v>244</v>
      </c>
      <c r="E453" s="229" t="s">
        <v>22</v>
      </c>
      <c r="F453" s="231">
        <v>38.119999999999997</v>
      </c>
      <c r="G453" s="229" t="s">
        <v>1</v>
      </c>
      <c r="H453" s="405">
        <f ca="1">INDEX(PRODUTIVIDADES!$M:$M,MATCH(tbAREAS[[#This Row],[TIPO DE ÁREA]],PRODUTIVIDADES!$B:$B,0)+MATCH(tbAREAS[[#This Row],[LOCALIDADE]],PRODUTIVIDADES!$A:$A,0)-3)*tbAREAS[[#This Row],[ÁREA EM M²]]</f>
        <v>15.247999999999999</v>
      </c>
      <c r="L453" s="391"/>
    </row>
    <row r="454" spans="1:12" hidden="1" x14ac:dyDescent="0.25">
      <c r="A454" s="228" t="s">
        <v>2</v>
      </c>
      <c r="B454" s="234" t="s">
        <v>83</v>
      </c>
      <c r="C454" s="230" t="s">
        <v>245</v>
      </c>
      <c r="D454" s="230" t="s">
        <v>244</v>
      </c>
      <c r="E454" s="229" t="s">
        <v>9</v>
      </c>
      <c r="F454" s="231">
        <v>45.6</v>
      </c>
      <c r="G454" s="229" t="s">
        <v>1</v>
      </c>
      <c r="H454" s="405">
        <f ca="1">INDEX(PRODUTIVIDADES!$M:$M,MATCH(tbAREAS[[#This Row],[TIPO DE ÁREA]],PRODUTIVIDADES!$B:$B,0)+MATCH(tbAREAS[[#This Row],[LOCALIDADE]],PRODUTIVIDADES!$A:$A,0)-3)*tbAREAS[[#This Row],[ÁREA EM M²]]</f>
        <v>355.68</v>
      </c>
      <c r="L454" s="391"/>
    </row>
    <row r="455" spans="1:12" hidden="1" x14ac:dyDescent="0.25">
      <c r="A455" s="228" t="s">
        <v>2</v>
      </c>
      <c r="B455" s="234" t="s">
        <v>83</v>
      </c>
      <c r="C455" s="230" t="s">
        <v>245</v>
      </c>
      <c r="D455" s="230" t="s">
        <v>244</v>
      </c>
      <c r="E455" s="229" t="s">
        <v>10</v>
      </c>
      <c r="F455" s="231">
        <v>5.85</v>
      </c>
      <c r="G455" s="229" t="s">
        <v>1</v>
      </c>
      <c r="H455" s="405">
        <f ca="1">INDEX(PRODUTIVIDADES!$M:$M,MATCH(tbAREAS[[#This Row],[TIPO DE ÁREA]],PRODUTIVIDADES!$B:$B,0)+MATCH(tbAREAS[[#This Row],[LOCALIDADE]],PRODUTIVIDADES!$A:$A,0)-3)*tbAREAS[[#This Row],[ÁREA EM M²]]</f>
        <v>18.251999999999999</v>
      </c>
      <c r="L455" s="391"/>
    </row>
    <row r="456" spans="1:12" hidden="1" x14ac:dyDescent="0.25">
      <c r="A456" s="228" t="s">
        <v>2</v>
      </c>
      <c r="B456" s="234" t="s">
        <v>83</v>
      </c>
      <c r="C456" s="230" t="s">
        <v>245</v>
      </c>
      <c r="D456" s="230" t="s">
        <v>244</v>
      </c>
      <c r="E456" s="229" t="s">
        <v>14</v>
      </c>
      <c r="F456" s="231">
        <v>53.08</v>
      </c>
      <c r="G456" s="229" t="s">
        <v>1</v>
      </c>
      <c r="H456" s="405">
        <f ca="1">INDEX(PRODUTIVIDADES!$M:$M,MATCH(tbAREAS[[#This Row],[TIPO DE ÁREA]],PRODUTIVIDADES!$B:$B,0)+MATCH(tbAREAS[[#This Row],[LOCALIDADE]],PRODUTIVIDADES!$A:$A,0)-3)*tbAREAS[[#This Row],[ÁREA EM M²]]</f>
        <v>451.18</v>
      </c>
      <c r="L456" s="391"/>
    </row>
    <row r="457" spans="1:12" hidden="1" x14ac:dyDescent="0.25">
      <c r="A457" s="228" t="s">
        <v>2</v>
      </c>
      <c r="B457" s="234" t="s">
        <v>83</v>
      </c>
      <c r="C457" s="230" t="s">
        <v>245</v>
      </c>
      <c r="D457" s="230" t="s">
        <v>244</v>
      </c>
      <c r="E457" s="229" t="s">
        <v>15</v>
      </c>
      <c r="F457" s="231">
        <v>7.4</v>
      </c>
      <c r="G457" s="229" t="s">
        <v>1</v>
      </c>
      <c r="H457" s="405">
        <f ca="1">INDEX(PRODUTIVIDADES!$M:$M,MATCH(tbAREAS[[#This Row],[TIPO DE ÁREA]],PRODUTIVIDADES!$B:$B,0)+MATCH(tbAREAS[[#This Row],[LOCALIDADE]],PRODUTIVIDADES!$A:$A,0)-3)*tbAREAS[[#This Row],[ÁREA EM M²]]</f>
        <v>5.1059999999999999</v>
      </c>
      <c r="L457" s="391"/>
    </row>
    <row r="458" spans="1:12" hidden="1" x14ac:dyDescent="0.25">
      <c r="A458" s="228" t="s">
        <v>2</v>
      </c>
      <c r="B458" s="234" t="s">
        <v>83</v>
      </c>
      <c r="C458" s="230" t="s">
        <v>245</v>
      </c>
      <c r="D458" s="230" t="s">
        <v>244</v>
      </c>
      <c r="E458" s="229" t="s">
        <v>16</v>
      </c>
      <c r="F458" s="231">
        <v>25.44</v>
      </c>
      <c r="G458" s="229" t="s">
        <v>1</v>
      </c>
      <c r="H458" s="405">
        <f ca="1">INDEX(PRODUTIVIDADES!$M:$M,MATCH(tbAREAS[[#This Row],[TIPO DE ÁREA]],PRODUTIVIDADES!$B:$B,0)+MATCH(tbAREAS[[#This Row],[LOCALIDADE]],PRODUTIVIDADES!$A:$A,0)-3)*tbAREAS[[#This Row],[ÁREA EM M²]]</f>
        <v>19.843200000000003</v>
      </c>
      <c r="L458" s="391"/>
    </row>
    <row r="459" spans="1:12" hidden="1" x14ac:dyDescent="0.25">
      <c r="A459" s="228" t="s">
        <v>2</v>
      </c>
      <c r="B459" s="234" t="s">
        <v>83</v>
      </c>
      <c r="C459" s="230" t="s">
        <v>245</v>
      </c>
      <c r="D459" s="230" t="s">
        <v>244</v>
      </c>
      <c r="E459" s="229" t="s">
        <v>17</v>
      </c>
      <c r="F459" s="231">
        <v>15.34</v>
      </c>
      <c r="G459" s="229" t="s">
        <v>1</v>
      </c>
      <c r="H459" s="405">
        <f ca="1">INDEX(PRODUTIVIDADES!$M:$M,MATCH(tbAREAS[[#This Row],[TIPO DE ÁREA]],PRODUTIVIDADES!$B:$B,0)+MATCH(tbAREAS[[#This Row],[LOCALIDADE]],PRODUTIVIDADES!$A:$A,0)-3)*tbAREAS[[#This Row],[ÁREA EM M²]]</f>
        <v>35.895599999999995</v>
      </c>
      <c r="L459" s="391"/>
    </row>
    <row r="460" spans="1:12" hidden="1" x14ac:dyDescent="0.25">
      <c r="A460" s="228" t="s">
        <v>2</v>
      </c>
      <c r="B460" s="234" t="s">
        <v>83</v>
      </c>
      <c r="C460" s="230" t="s">
        <v>245</v>
      </c>
      <c r="D460" s="230" t="s">
        <v>244</v>
      </c>
      <c r="E460" s="229" t="s">
        <v>18</v>
      </c>
      <c r="F460" s="231">
        <v>8.8800000000000008</v>
      </c>
      <c r="G460" s="229" t="s">
        <v>1</v>
      </c>
      <c r="H460" s="405">
        <f ca="1">INDEX(PRODUTIVIDADES!$M:$M,MATCH(tbAREAS[[#This Row],[TIPO DE ÁREA]],PRODUTIVIDADES!$B:$B,0)+MATCH(tbAREAS[[#This Row],[LOCALIDADE]],PRODUTIVIDADES!$A:$A,0)-3)*tbAREAS[[#This Row],[ÁREA EM M²]]</f>
        <v>402.70800000000003</v>
      </c>
      <c r="L460" s="391"/>
    </row>
    <row r="461" spans="1:12" hidden="1" x14ac:dyDescent="0.25">
      <c r="A461" s="228" t="s">
        <v>2</v>
      </c>
      <c r="B461" s="234" t="s">
        <v>83</v>
      </c>
      <c r="C461" s="230" t="s">
        <v>246</v>
      </c>
      <c r="D461" s="230" t="s">
        <v>247</v>
      </c>
      <c r="E461" s="229" t="s">
        <v>9</v>
      </c>
      <c r="F461" s="231">
        <v>108.15</v>
      </c>
      <c r="G461" s="229" t="s">
        <v>1</v>
      </c>
      <c r="H461" s="405">
        <f ca="1">INDEX(PRODUTIVIDADES!$M:$M,MATCH(tbAREAS[[#This Row],[TIPO DE ÁREA]],PRODUTIVIDADES!$B:$B,0)+MATCH(tbAREAS[[#This Row],[LOCALIDADE]],PRODUTIVIDADES!$A:$A,0)-3)*tbAREAS[[#This Row],[ÁREA EM M²]]</f>
        <v>843.57</v>
      </c>
      <c r="L461" s="391"/>
    </row>
    <row r="462" spans="1:12" hidden="1" x14ac:dyDescent="0.25">
      <c r="A462" s="228" t="s">
        <v>2</v>
      </c>
      <c r="B462" s="234" t="s">
        <v>83</v>
      </c>
      <c r="C462" s="230" t="s">
        <v>246</v>
      </c>
      <c r="D462" s="230" t="s">
        <v>247</v>
      </c>
      <c r="E462" s="229" t="s">
        <v>10</v>
      </c>
      <c r="F462" s="231">
        <v>28.27</v>
      </c>
      <c r="G462" s="229" t="s">
        <v>1</v>
      </c>
      <c r="H462" s="405">
        <f ca="1">INDEX(PRODUTIVIDADES!$M:$M,MATCH(tbAREAS[[#This Row],[TIPO DE ÁREA]],PRODUTIVIDADES!$B:$B,0)+MATCH(tbAREAS[[#This Row],[LOCALIDADE]],PRODUTIVIDADES!$A:$A,0)-3)*tbAREAS[[#This Row],[ÁREA EM M²]]</f>
        <v>88.202399999999997</v>
      </c>
      <c r="L462" s="391"/>
    </row>
    <row r="463" spans="1:12" hidden="1" x14ac:dyDescent="0.25">
      <c r="A463" s="228" t="s">
        <v>2</v>
      </c>
      <c r="B463" s="234" t="s">
        <v>83</v>
      </c>
      <c r="C463" s="230" t="s">
        <v>246</v>
      </c>
      <c r="D463" s="230" t="s">
        <v>247</v>
      </c>
      <c r="E463" s="229" t="s">
        <v>15</v>
      </c>
      <c r="F463" s="231">
        <v>110.14</v>
      </c>
      <c r="G463" s="229" t="s">
        <v>1</v>
      </c>
      <c r="H463" s="405">
        <f ca="1">INDEX(PRODUTIVIDADES!$M:$M,MATCH(tbAREAS[[#This Row],[TIPO DE ÁREA]],PRODUTIVIDADES!$B:$B,0)+MATCH(tbAREAS[[#This Row],[LOCALIDADE]],PRODUTIVIDADES!$A:$A,0)-3)*tbAREAS[[#This Row],[ÁREA EM M²]]</f>
        <v>75.996600000000001</v>
      </c>
      <c r="L463" s="391"/>
    </row>
    <row r="464" spans="1:12" hidden="1" x14ac:dyDescent="0.25">
      <c r="A464" s="228" t="s">
        <v>2</v>
      </c>
      <c r="B464" s="234" t="s">
        <v>83</v>
      </c>
      <c r="C464" s="230" t="s">
        <v>246</v>
      </c>
      <c r="D464" s="230" t="s">
        <v>247</v>
      </c>
      <c r="E464" s="229" t="s">
        <v>16</v>
      </c>
      <c r="F464" s="231">
        <v>10.050000000000001</v>
      </c>
      <c r="G464" s="229" t="s">
        <v>1</v>
      </c>
      <c r="H464" s="405">
        <f ca="1">INDEX(PRODUTIVIDADES!$M:$M,MATCH(tbAREAS[[#This Row],[TIPO DE ÁREA]],PRODUTIVIDADES!$B:$B,0)+MATCH(tbAREAS[[#This Row],[LOCALIDADE]],PRODUTIVIDADES!$A:$A,0)-3)*tbAREAS[[#This Row],[ÁREA EM M²]]</f>
        <v>7.8390000000000004</v>
      </c>
      <c r="L464" s="391"/>
    </row>
    <row r="465" spans="1:12" hidden="1" x14ac:dyDescent="0.25">
      <c r="A465" s="228" t="s">
        <v>2</v>
      </c>
      <c r="B465" s="234" t="s">
        <v>83</v>
      </c>
      <c r="C465" s="230" t="s">
        <v>246</v>
      </c>
      <c r="D465" s="230" t="s">
        <v>247</v>
      </c>
      <c r="E465" s="229" t="s">
        <v>18</v>
      </c>
      <c r="F465" s="231">
        <v>13.5</v>
      </c>
      <c r="G465" s="229" t="s">
        <v>1</v>
      </c>
      <c r="H465" s="405">
        <f ca="1">INDEX(PRODUTIVIDADES!$M:$M,MATCH(tbAREAS[[#This Row],[TIPO DE ÁREA]],PRODUTIVIDADES!$B:$B,0)+MATCH(tbAREAS[[#This Row],[LOCALIDADE]],PRODUTIVIDADES!$A:$A,0)-3)*tbAREAS[[#This Row],[ÁREA EM M²]]</f>
        <v>612.22500000000002</v>
      </c>
      <c r="L465" s="391"/>
    </row>
    <row r="466" spans="1:12" hidden="1" x14ac:dyDescent="0.25">
      <c r="A466" s="228" t="s">
        <v>2</v>
      </c>
      <c r="B466" s="234" t="s">
        <v>83</v>
      </c>
      <c r="C466" s="230" t="s">
        <v>248</v>
      </c>
      <c r="D466" s="230" t="s">
        <v>249</v>
      </c>
      <c r="E466" s="229" t="s">
        <v>9</v>
      </c>
      <c r="F466" s="231">
        <v>50.63</v>
      </c>
      <c r="G466" s="229" t="s">
        <v>1</v>
      </c>
      <c r="H466" s="405">
        <f ca="1">INDEX(PRODUTIVIDADES!$M:$M,MATCH(tbAREAS[[#This Row],[TIPO DE ÁREA]],PRODUTIVIDADES!$B:$B,0)+MATCH(tbAREAS[[#This Row],[LOCALIDADE]],PRODUTIVIDADES!$A:$A,0)-3)*tbAREAS[[#This Row],[ÁREA EM M²]]</f>
        <v>394.91399999999999</v>
      </c>
      <c r="L466" s="391"/>
    </row>
    <row r="467" spans="1:12" hidden="1" x14ac:dyDescent="0.25">
      <c r="A467" s="228" t="s">
        <v>2</v>
      </c>
      <c r="B467" s="234" t="s">
        <v>83</v>
      </c>
      <c r="C467" s="230" t="s">
        <v>248</v>
      </c>
      <c r="D467" s="230" t="s">
        <v>249</v>
      </c>
      <c r="E467" s="229" t="s">
        <v>10</v>
      </c>
      <c r="F467" s="231">
        <v>120.98</v>
      </c>
      <c r="G467" s="229" t="s">
        <v>1</v>
      </c>
      <c r="H467" s="405">
        <f ca="1">INDEX(PRODUTIVIDADES!$M:$M,MATCH(tbAREAS[[#This Row],[TIPO DE ÁREA]],PRODUTIVIDADES!$B:$B,0)+MATCH(tbAREAS[[#This Row],[LOCALIDADE]],PRODUTIVIDADES!$A:$A,0)-3)*tbAREAS[[#This Row],[ÁREA EM M²]]</f>
        <v>377.45760000000001</v>
      </c>
      <c r="L467" s="391"/>
    </row>
    <row r="468" spans="1:12" hidden="1" x14ac:dyDescent="0.25">
      <c r="A468" s="228" t="s">
        <v>2</v>
      </c>
      <c r="B468" s="234" t="s">
        <v>83</v>
      </c>
      <c r="C468" s="230" t="s">
        <v>248</v>
      </c>
      <c r="D468" s="230" t="s">
        <v>249</v>
      </c>
      <c r="E468" s="229" t="s">
        <v>14</v>
      </c>
      <c r="F468" s="231">
        <v>196.64</v>
      </c>
      <c r="G468" s="229" t="s">
        <v>1</v>
      </c>
      <c r="H468" s="405">
        <f ca="1">INDEX(PRODUTIVIDADES!$M:$M,MATCH(tbAREAS[[#This Row],[TIPO DE ÁREA]],PRODUTIVIDADES!$B:$B,0)+MATCH(tbAREAS[[#This Row],[LOCALIDADE]],PRODUTIVIDADES!$A:$A,0)-3)*tbAREAS[[#This Row],[ÁREA EM M²]]</f>
        <v>1671.4399999999998</v>
      </c>
      <c r="L468" s="391"/>
    </row>
    <row r="469" spans="1:12" hidden="1" x14ac:dyDescent="0.25">
      <c r="A469" s="228" t="s">
        <v>2</v>
      </c>
      <c r="B469" s="234" t="s">
        <v>83</v>
      </c>
      <c r="C469" s="230" t="s">
        <v>248</v>
      </c>
      <c r="D469" s="230" t="s">
        <v>249</v>
      </c>
      <c r="E469" s="229" t="s">
        <v>15</v>
      </c>
      <c r="F469" s="231">
        <v>41.89</v>
      </c>
      <c r="G469" s="229" t="s">
        <v>1</v>
      </c>
      <c r="H469" s="405">
        <f ca="1">INDEX(PRODUTIVIDADES!$M:$M,MATCH(tbAREAS[[#This Row],[TIPO DE ÁREA]],PRODUTIVIDADES!$B:$B,0)+MATCH(tbAREAS[[#This Row],[LOCALIDADE]],PRODUTIVIDADES!$A:$A,0)-3)*tbAREAS[[#This Row],[ÁREA EM M²]]</f>
        <v>28.9041</v>
      </c>
      <c r="L469" s="391"/>
    </row>
    <row r="470" spans="1:12" hidden="1" x14ac:dyDescent="0.25">
      <c r="A470" s="228" t="s">
        <v>2</v>
      </c>
      <c r="B470" s="234" t="s">
        <v>83</v>
      </c>
      <c r="C470" s="230" t="s">
        <v>248</v>
      </c>
      <c r="D470" s="230" t="s">
        <v>249</v>
      </c>
      <c r="E470" s="229" t="s">
        <v>17</v>
      </c>
      <c r="F470" s="231">
        <v>67.73</v>
      </c>
      <c r="G470" s="229" t="s">
        <v>1</v>
      </c>
      <c r="H470" s="405">
        <f ca="1">INDEX(PRODUTIVIDADES!$M:$M,MATCH(tbAREAS[[#This Row],[TIPO DE ÁREA]],PRODUTIVIDADES!$B:$B,0)+MATCH(tbAREAS[[#This Row],[LOCALIDADE]],PRODUTIVIDADES!$A:$A,0)-3)*tbAREAS[[#This Row],[ÁREA EM M²]]</f>
        <v>158.48820000000001</v>
      </c>
      <c r="L470" s="391"/>
    </row>
    <row r="471" spans="1:12" hidden="1" x14ac:dyDescent="0.25">
      <c r="A471" s="228" t="s">
        <v>2</v>
      </c>
      <c r="B471" s="234" t="s">
        <v>83</v>
      </c>
      <c r="C471" s="230" t="s">
        <v>248</v>
      </c>
      <c r="D471" s="230" t="s">
        <v>249</v>
      </c>
      <c r="E471" s="229" t="s">
        <v>18</v>
      </c>
      <c r="F471" s="231">
        <v>9.51</v>
      </c>
      <c r="G471" s="229" t="s">
        <v>1</v>
      </c>
      <c r="H471" s="405">
        <f ca="1">INDEX(PRODUTIVIDADES!$M:$M,MATCH(tbAREAS[[#This Row],[TIPO DE ÁREA]],PRODUTIVIDADES!$B:$B,0)+MATCH(tbAREAS[[#This Row],[LOCALIDADE]],PRODUTIVIDADES!$A:$A,0)-3)*tbAREAS[[#This Row],[ÁREA EM M²]]</f>
        <v>431.27850000000001</v>
      </c>
      <c r="L471" s="391"/>
    </row>
    <row r="472" spans="1:12" hidden="1" x14ac:dyDescent="0.25">
      <c r="A472" s="228" t="s">
        <v>2</v>
      </c>
      <c r="B472" s="234" t="s">
        <v>83</v>
      </c>
      <c r="C472" s="230" t="s">
        <v>248</v>
      </c>
      <c r="D472" s="230" t="s">
        <v>249</v>
      </c>
      <c r="E472" s="229" t="s">
        <v>21</v>
      </c>
      <c r="F472" s="231">
        <v>61.4</v>
      </c>
      <c r="G472" s="229" t="s">
        <v>1</v>
      </c>
      <c r="H472" s="405">
        <f ca="1">INDEX(PRODUTIVIDADES!$M:$M,MATCH(tbAREAS[[#This Row],[TIPO DE ÁREA]],PRODUTIVIDADES!$B:$B,0)+MATCH(tbAREAS[[#This Row],[LOCALIDADE]],PRODUTIVIDADES!$A:$A,0)-3)*tbAREAS[[#This Row],[ÁREA EM M²]]</f>
        <v>10.438000000000001</v>
      </c>
      <c r="L472" s="391"/>
    </row>
    <row r="473" spans="1:12" hidden="1" x14ac:dyDescent="0.25">
      <c r="A473" s="228" t="s">
        <v>2</v>
      </c>
      <c r="B473" s="234" t="s">
        <v>83</v>
      </c>
      <c r="C473" s="230" t="s">
        <v>248</v>
      </c>
      <c r="D473" s="230" t="s">
        <v>249</v>
      </c>
      <c r="E473" s="229" t="s">
        <v>22</v>
      </c>
      <c r="F473" s="231">
        <v>61.4</v>
      </c>
      <c r="G473" s="229" t="s">
        <v>1</v>
      </c>
      <c r="H473" s="405">
        <f ca="1">INDEX(PRODUTIVIDADES!$M:$M,MATCH(tbAREAS[[#This Row],[TIPO DE ÁREA]],PRODUTIVIDADES!$B:$B,0)+MATCH(tbAREAS[[#This Row],[LOCALIDADE]],PRODUTIVIDADES!$A:$A,0)-3)*tbAREAS[[#This Row],[ÁREA EM M²]]</f>
        <v>24.560000000000002</v>
      </c>
      <c r="L473" s="391"/>
    </row>
    <row r="474" spans="1:12" hidden="1" x14ac:dyDescent="0.25">
      <c r="A474" s="228" t="s">
        <v>2</v>
      </c>
      <c r="B474" s="234" t="s">
        <v>83</v>
      </c>
      <c r="C474" s="230" t="s">
        <v>250</v>
      </c>
      <c r="D474" s="230" t="s">
        <v>251</v>
      </c>
      <c r="E474" s="229" t="s">
        <v>10</v>
      </c>
      <c r="F474" s="231">
        <v>102.96</v>
      </c>
      <c r="G474" s="229" t="s">
        <v>1</v>
      </c>
      <c r="H474" s="405">
        <f ca="1">INDEX(PRODUTIVIDADES!$M:$M,MATCH(tbAREAS[[#This Row],[TIPO DE ÁREA]],PRODUTIVIDADES!$B:$B,0)+MATCH(tbAREAS[[#This Row],[LOCALIDADE]],PRODUTIVIDADES!$A:$A,0)-3)*tbAREAS[[#This Row],[ÁREA EM M²]]</f>
        <v>321.23519999999996</v>
      </c>
      <c r="L474" s="391"/>
    </row>
    <row r="475" spans="1:12" hidden="1" x14ac:dyDescent="0.25">
      <c r="A475" s="228" t="s">
        <v>2</v>
      </c>
      <c r="B475" s="234" t="s">
        <v>83</v>
      </c>
      <c r="C475" s="230" t="s">
        <v>250</v>
      </c>
      <c r="D475" s="230" t="s">
        <v>251</v>
      </c>
      <c r="E475" s="229" t="s">
        <v>14</v>
      </c>
      <c r="F475" s="231">
        <v>1171.8800000000001</v>
      </c>
      <c r="G475" s="229" t="s">
        <v>1</v>
      </c>
      <c r="H475" s="405">
        <f ca="1">INDEX(PRODUTIVIDADES!$M:$M,MATCH(tbAREAS[[#This Row],[TIPO DE ÁREA]],PRODUTIVIDADES!$B:$B,0)+MATCH(tbAREAS[[#This Row],[LOCALIDADE]],PRODUTIVIDADES!$A:$A,0)-3)*tbAREAS[[#This Row],[ÁREA EM M²]]</f>
        <v>9960.9800000000014</v>
      </c>
      <c r="L475" s="391"/>
    </row>
    <row r="476" spans="1:12" hidden="1" x14ac:dyDescent="0.25">
      <c r="A476" s="228" t="s">
        <v>2</v>
      </c>
      <c r="B476" s="234" t="s">
        <v>83</v>
      </c>
      <c r="C476" s="230" t="s">
        <v>250</v>
      </c>
      <c r="D476" s="230" t="s">
        <v>251</v>
      </c>
      <c r="E476" s="229" t="s">
        <v>17</v>
      </c>
      <c r="F476" s="231">
        <v>76.900000000000006</v>
      </c>
      <c r="G476" s="229" t="s">
        <v>1</v>
      </c>
      <c r="H476" s="405">
        <f ca="1">INDEX(PRODUTIVIDADES!$M:$M,MATCH(tbAREAS[[#This Row],[TIPO DE ÁREA]],PRODUTIVIDADES!$B:$B,0)+MATCH(tbAREAS[[#This Row],[LOCALIDADE]],PRODUTIVIDADES!$A:$A,0)-3)*tbAREAS[[#This Row],[ÁREA EM M²]]</f>
        <v>179.946</v>
      </c>
      <c r="L476" s="391"/>
    </row>
    <row r="477" spans="1:12" hidden="1" x14ac:dyDescent="0.25">
      <c r="A477" s="228" t="s">
        <v>2</v>
      </c>
      <c r="B477" s="234" t="s">
        <v>83</v>
      </c>
      <c r="C477" s="230" t="s">
        <v>250</v>
      </c>
      <c r="D477" s="230" t="s">
        <v>251</v>
      </c>
      <c r="E477" s="229" t="s">
        <v>18</v>
      </c>
      <c r="F477" s="231">
        <v>19.48</v>
      </c>
      <c r="G477" s="229" t="s">
        <v>1</v>
      </c>
      <c r="H477" s="405">
        <f ca="1">INDEX(PRODUTIVIDADES!$M:$M,MATCH(tbAREAS[[#This Row],[TIPO DE ÁREA]],PRODUTIVIDADES!$B:$B,0)+MATCH(tbAREAS[[#This Row],[LOCALIDADE]],PRODUTIVIDADES!$A:$A,0)-3)*tbAREAS[[#This Row],[ÁREA EM M²]]</f>
        <v>883.41800000000001</v>
      </c>
      <c r="L477" s="391"/>
    </row>
    <row r="478" spans="1:12" hidden="1" x14ac:dyDescent="0.25">
      <c r="A478" s="228" t="s">
        <v>2</v>
      </c>
      <c r="B478" s="234" t="s">
        <v>83</v>
      </c>
      <c r="C478" s="230" t="s">
        <v>250</v>
      </c>
      <c r="D478" s="230" t="s">
        <v>251</v>
      </c>
      <c r="E478" s="229" t="s">
        <v>21</v>
      </c>
      <c r="F478" s="231">
        <v>285.74</v>
      </c>
      <c r="G478" s="229" t="s">
        <v>1</v>
      </c>
      <c r="H478" s="405">
        <f ca="1">INDEX(PRODUTIVIDADES!$M:$M,MATCH(tbAREAS[[#This Row],[TIPO DE ÁREA]],PRODUTIVIDADES!$B:$B,0)+MATCH(tbAREAS[[#This Row],[LOCALIDADE]],PRODUTIVIDADES!$A:$A,0)-3)*tbAREAS[[#This Row],[ÁREA EM M²]]</f>
        <v>48.575800000000008</v>
      </c>
      <c r="L478" s="391"/>
    </row>
    <row r="479" spans="1:12" hidden="1" x14ac:dyDescent="0.25">
      <c r="A479" s="228" t="s">
        <v>2</v>
      </c>
      <c r="B479" s="234" t="s">
        <v>83</v>
      </c>
      <c r="C479" s="230" t="s">
        <v>250</v>
      </c>
      <c r="D479" s="230" t="s">
        <v>251</v>
      </c>
      <c r="E479" s="229" t="s">
        <v>22</v>
      </c>
      <c r="F479" s="231">
        <v>285.74</v>
      </c>
      <c r="G479" s="229" t="s">
        <v>1</v>
      </c>
      <c r="H479" s="405">
        <f ca="1">INDEX(PRODUTIVIDADES!$M:$M,MATCH(tbAREAS[[#This Row],[TIPO DE ÁREA]],PRODUTIVIDADES!$B:$B,0)+MATCH(tbAREAS[[#This Row],[LOCALIDADE]],PRODUTIVIDADES!$A:$A,0)-3)*tbAREAS[[#This Row],[ÁREA EM M²]]</f>
        <v>114.29600000000001</v>
      </c>
      <c r="L479" s="391"/>
    </row>
    <row r="480" spans="1:12" hidden="1" x14ac:dyDescent="0.25">
      <c r="A480" s="228" t="s">
        <v>2</v>
      </c>
      <c r="B480" s="234" t="s">
        <v>83</v>
      </c>
      <c r="C480" s="230" t="s">
        <v>252</v>
      </c>
      <c r="D480" s="230" t="s">
        <v>253</v>
      </c>
      <c r="E480" s="229" t="s">
        <v>9</v>
      </c>
      <c r="F480" s="231">
        <v>65.52</v>
      </c>
      <c r="G480" s="229" t="s">
        <v>1</v>
      </c>
      <c r="H480" s="405">
        <f ca="1">INDEX(PRODUTIVIDADES!$M:$M,MATCH(tbAREAS[[#This Row],[TIPO DE ÁREA]],PRODUTIVIDADES!$B:$B,0)+MATCH(tbAREAS[[#This Row],[LOCALIDADE]],PRODUTIVIDADES!$A:$A,0)-3)*tbAREAS[[#This Row],[ÁREA EM M²]]</f>
        <v>511.05599999999998</v>
      </c>
      <c r="L480" s="391"/>
    </row>
    <row r="481" spans="1:12" hidden="1" x14ac:dyDescent="0.25">
      <c r="A481" s="228" t="s">
        <v>2</v>
      </c>
      <c r="B481" s="234" t="s">
        <v>83</v>
      </c>
      <c r="C481" s="230" t="s">
        <v>252</v>
      </c>
      <c r="D481" s="230" t="s">
        <v>253</v>
      </c>
      <c r="E481" s="229" t="s">
        <v>14</v>
      </c>
      <c r="F481" s="231">
        <v>232.14</v>
      </c>
      <c r="G481" s="229" t="s">
        <v>1</v>
      </c>
      <c r="H481" s="405">
        <f ca="1">INDEX(PRODUTIVIDADES!$M:$M,MATCH(tbAREAS[[#This Row],[TIPO DE ÁREA]],PRODUTIVIDADES!$B:$B,0)+MATCH(tbAREAS[[#This Row],[LOCALIDADE]],PRODUTIVIDADES!$A:$A,0)-3)*tbAREAS[[#This Row],[ÁREA EM M²]]</f>
        <v>1973.1899999999998</v>
      </c>
      <c r="L481" s="391"/>
    </row>
    <row r="482" spans="1:12" hidden="1" x14ac:dyDescent="0.25">
      <c r="A482" s="228" t="s">
        <v>2</v>
      </c>
      <c r="B482" s="234" t="s">
        <v>83</v>
      </c>
      <c r="C482" s="230" t="s">
        <v>252</v>
      </c>
      <c r="D482" s="230" t="s">
        <v>253</v>
      </c>
      <c r="E482" s="229" t="s">
        <v>17</v>
      </c>
      <c r="F482" s="231">
        <v>54.62</v>
      </c>
      <c r="G482" s="229" t="s">
        <v>1</v>
      </c>
      <c r="H482" s="405">
        <f ca="1">INDEX(PRODUTIVIDADES!$M:$M,MATCH(tbAREAS[[#This Row],[TIPO DE ÁREA]],PRODUTIVIDADES!$B:$B,0)+MATCH(tbAREAS[[#This Row],[LOCALIDADE]],PRODUTIVIDADES!$A:$A,0)-3)*tbAREAS[[#This Row],[ÁREA EM M²]]</f>
        <v>127.81079999999999</v>
      </c>
      <c r="L482" s="391"/>
    </row>
    <row r="483" spans="1:12" hidden="1" x14ac:dyDescent="0.25">
      <c r="A483" s="228" t="s">
        <v>2</v>
      </c>
      <c r="B483" s="234" t="s">
        <v>83</v>
      </c>
      <c r="C483" s="230" t="s">
        <v>252</v>
      </c>
      <c r="D483" s="230" t="s">
        <v>253</v>
      </c>
      <c r="E483" s="229" t="s">
        <v>18</v>
      </c>
      <c r="F483" s="231">
        <v>27.72</v>
      </c>
      <c r="G483" s="229" t="s">
        <v>1</v>
      </c>
      <c r="H483" s="405">
        <f ca="1">INDEX(PRODUTIVIDADES!$M:$M,MATCH(tbAREAS[[#This Row],[TIPO DE ÁREA]],PRODUTIVIDADES!$B:$B,0)+MATCH(tbAREAS[[#This Row],[LOCALIDADE]],PRODUTIVIDADES!$A:$A,0)-3)*tbAREAS[[#This Row],[ÁREA EM M²]]</f>
        <v>1257.1020000000001</v>
      </c>
      <c r="L483" s="391"/>
    </row>
    <row r="484" spans="1:12" hidden="1" x14ac:dyDescent="0.25">
      <c r="A484" s="228" t="s">
        <v>2</v>
      </c>
      <c r="B484" s="234" t="s">
        <v>83</v>
      </c>
      <c r="C484" s="230" t="s">
        <v>252</v>
      </c>
      <c r="D484" s="230" t="s">
        <v>253</v>
      </c>
      <c r="E484" s="229" t="s">
        <v>21</v>
      </c>
      <c r="F484" s="231">
        <v>48.54</v>
      </c>
      <c r="G484" s="229" t="s">
        <v>1</v>
      </c>
      <c r="H484" s="405">
        <f ca="1">INDEX(PRODUTIVIDADES!$M:$M,MATCH(tbAREAS[[#This Row],[TIPO DE ÁREA]],PRODUTIVIDADES!$B:$B,0)+MATCH(tbAREAS[[#This Row],[LOCALIDADE]],PRODUTIVIDADES!$A:$A,0)-3)*tbAREAS[[#This Row],[ÁREA EM M²]]</f>
        <v>8.2518000000000011</v>
      </c>
      <c r="L484" s="391"/>
    </row>
    <row r="485" spans="1:12" hidden="1" x14ac:dyDescent="0.25">
      <c r="A485" s="228" t="s">
        <v>2</v>
      </c>
      <c r="B485" s="234" t="s">
        <v>83</v>
      </c>
      <c r="C485" s="230" t="s">
        <v>252</v>
      </c>
      <c r="D485" s="230" t="s">
        <v>253</v>
      </c>
      <c r="E485" s="229" t="s">
        <v>22</v>
      </c>
      <c r="F485" s="231">
        <v>48.54</v>
      </c>
      <c r="G485" s="229" t="s">
        <v>1</v>
      </c>
      <c r="H485" s="405">
        <f ca="1">INDEX(PRODUTIVIDADES!$M:$M,MATCH(tbAREAS[[#This Row],[TIPO DE ÁREA]],PRODUTIVIDADES!$B:$B,0)+MATCH(tbAREAS[[#This Row],[LOCALIDADE]],PRODUTIVIDADES!$A:$A,0)-3)*tbAREAS[[#This Row],[ÁREA EM M²]]</f>
        <v>19.416</v>
      </c>
      <c r="L485" s="391"/>
    </row>
    <row r="486" spans="1:12" hidden="1" x14ac:dyDescent="0.25">
      <c r="A486" s="228" t="s">
        <v>2</v>
      </c>
      <c r="B486" s="234" t="s">
        <v>83</v>
      </c>
      <c r="C486" s="230" t="s">
        <v>254</v>
      </c>
      <c r="D486" s="230" t="s">
        <v>255</v>
      </c>
      <c r="E486" s="229" t="s">
        <v>9</v>
      </c>
      <c r="F486" s="231">
        <v>43.86</v>
      </c>
      <c r="G486" s="229" t="s">
        <v>1</v>
      </c>
      <c r="H486" s="405">
        <f ca="1">INDEX(PRODUTIVIDADES!$M:$M,MATCH(tbAREAS[[#This Row],[TIPO DE ÁREA]],PRODUTIVIDADES!$B:$B,0)+MATCH(tbAREAS[[#This Row],[LOCALIDADE]],PRODUTIVIDADES!$A:$A,0)-3)*tbAREAS[[#This Row],[ÁREA EM M²]]</f>
        <v>342.108</v>
      </c>
      <c r="L486" s="391"/>
    </row>
    <row r="487" spans="1:12" hidden="1" x14ac:dyDescent="0.25">
      <c r="A487" s="228" t="s">
        <v>2</v>
      </c>
      <c r="B487" s="234" t="s">
        <v>83</v>
      </c>
      <c r="C487" s="230" t="s">
        <v>254</v>
      </c>
      <c r="D487" s="230" t="s">
        <v>255</v>
      </c>
      <c r="E487" s="229" t="s">
        <v>10</v>
      </c>
      <c r="F487" s="231">
        <v>172.83</v>
      </c>
      <c r="G487" s="229" t="s">
        <v>1</v>
      </c>
      <c r="H487" s="405">
        <f ca="1">INDEX(PRODUTIVIDADES!$M:$M,MATCH(tbAREAS[[#This Row],[TIPO DE ÁREA]],PRODUTIVIDADES!$B:$B,0)+MATCH(tbAREAS[[#This Row],[LOCALIDADE]],PRODUTIVIDADES!$A:$A,0)-3)*tbAREAS[[#This Row],[ÁREA EM M²]]</f>
        <v>539.2296</v>
      </c>
      <c r="L487" s="391"/>
    </row>
    <row r="488" spans="1:12" hidden="1" x14ac:dyDescent="0.25">
      <c r="A488" s="228" t="s">
        <v>2</v>
      </c>
      <c r="B488" s="234" t="s">
        <v>83</v>
      </c>
      <c r="C488" s="230" t="s">
        <v>254</v>
      </c>
      <c r="D488" s="230" t="s">
        <v>255</v>
      </c>
      <c r="E488" s="229" t="s">
        <v>13</v>
      </c>
      <c r="F488" s="231">
        <v>62.94</v>
      </c>
      <c r="G488" s="229" t="s">
        <v>1</v>
      </c>
      <c r="H488" s="405">
        <f ca="1">INDEX(PRODUTIVIDADES!$M:$M,MATCH(tbAREAS[[#This Row],[TIPO DE ÁREA]],PRODUTIVIDADES!$B:$B,0)+MATCH(tbAREAS[[#This Row],[LOCALIDADE]],PRODUTIVIDADES!$A:$A,0)-3)*tbAREAS[[#This Row],[ÁREA EM M²]]</f>
        <v>196.37280000000001</v>
      </c>
      <c r="L488" s="391"/>
    </row>
    <row r="489" spans="1:12" hidden="1" x14ac:dyDescent="0.25">
      <c r="A489" s="228" t="s">
        <v>2</v>
      </c>
      <c r="B489" s="234" t="s">
        <v>83</v>
      </c>
      <c r="C489" s="230" t="s">
        <v>254</v>
      </c>
      <c r="D489" s="230" t="s">
        <v>255</v>
      </c>
      <c r="E489" s="229" t="s">
        <v>14</v>
      </c>
      <c r="F489" s="231">
        <v>278.37</v>
      </c>
      <c r="G489" s="229" t="s">
        <v>1</v>
      </c>
      <c r="H489" s="405">
        <f ca="1">INDEX(PRODUTIVIDADES!$M:$M,MATCH(tbAREAS[[#This Row],[TIPO DE ÁREA]],PRODUTIVIDADES!$B:$B,0)+MATCH(tbAREAS[[#This Row],[LOCALIDADE]],PRODUTIVIDADES!$A:$A,0)-3)*tbAREAS[[#This Row],[ÁREA EM M²]]</f>
        <v>2366.145</v>
      </c>
      <c r="L489" s="391"/>
    </row>
    <row r="490" spans="1:12" hidden="1" x14ac:dyDescent="0.25">
      <c r="A490" s="228" t="s">
        <v>2</v>
      </c>
      <c r="B490" s="234" t="s">
        <v>83</v>
      </c>
      <c r="C490" s="230" t="s">
        <v>254</v>
      </c>
      <c r="D490" s="230" t="s">
        <v>255</v>
      </c>
      <c r="E490" s="229" t="s">
        <v>17</v>
      </c>
      <c r="F490" s="231">
        <v>123.5</v>
      </c>
      <c r="G490" s="229" t="s">
        <v>1</v>
      </c>
      <c r="H490" s="405">
        <f ca="1">INDEX(PRODUTIVIDADES!$M:$M,MATCH(tbAREAS[[#This Row],[TIPO DE ÁREA]],PRODUTIVIDADES!$B:$B,0)+MATCH(tbAREAS[[#This Row],[LOCALIDADE]],PRODUTIVIDADES!$A:$A,0)-3)*tbAREAS[[#This Row],[ÁREA EM M²]]</f>
        <v>288.99</v>
      </c>
      <c r="L490" s="391"/>
    </row>
    <row r="491" spans="1:12" hidden="1" x14ac:dyDescent="0.25">
      <c r="A491" s="228" t="s">
        <v>2</v>
      </c>
      <c r="B491" s="234" t="s">
        <v>83</v>
      </c>
      <c r="C491" s="230" t="s">
        <v>254</v>
      </c>
      <c r="D491" s="230" t="s">
        <v>255</v>
      </c>
      <c r="E491" s="229" t="s">
        <v>18</v>
      </c>
      <c r="F491" s="231">
        <v>21.48</v>
      </c>
      <c r="G491" s="229" t="s">
        <v>1</v>
      </c>
      <c r="H491" s="405">
        <f ca="1">INDEX(PRODUTIVIDADES!$M:$M,MATCH(tbAREAS[[#This Row],[TIPO DE ÁREA]],PRODUTIVIDADES!$B:$B,0)+MATCH(tbAREAS[[#This Row],[LOCALIDADE]],PRODUTIVIDADES!$A:$A,0)-3)*tbAREAS[[#This Row],[ÁREA EM M²]]</f>
        <v>974.11800000000005</v>
      </c>
      <c r="L491" s="391"/>
    </row>
    <row r="492" spans="1:12" hidden="1" x14ac:dyDescent="0.25">
      <c r="A492" s="228" t="s">
        <v>2</v>
      </c>
      <c r="B492" s="234" t="s">
        <v>83</v>
      </c>
      <c r="C492" s="230" t="s">
        <v>254</v>
      </c>
      <c r="D492" s="230" t="s">
        <v>255</v>
      </c>
      <c r="E492" s="229" t="s">
        <v>21</v>
      </c>
      <c r="F492" s="231">
        <v>89</v>
      </c>
      <c r="G492" s="229" t="s">
        <v>1</v>
      </c>
      <c r="H492" s="405">
        <f ca="1">INDEX(PRODUTIVIDADES!$M:$M,MATCH(tbAREAS[[#This Row],[TIPO DE ÁREA]],PRODUTIVIDADES!$B:$B,0)+MATCH(tbAREAS[[#This Row],[LOCALIDADE]],PRODUTIVIDADES!$A:$A,0)-3)*tbAREAS[[#This Row],[ÁREA EM M²]]</f>
        <v>15.13</v>
      </c>
      <c r="L492" s="391"/>
    </row>
    <row r="493" spans="1:12" hidden="1" x14ac:dyDescent="0.25">
      <c r="A493" s="228" t="s">
        <v>2</v>
      </c>
      <c r="B493" s="234" t="s">
        <v>83</v>
      </c>
      <c r="C493" s="230" t="s">
        <v>254</v>
      </c>
      <c r="D493" s="230" t="s">
        <v>255</v>
      </c>
      <c r="E493" s="229" t="s">
        <v>22</v>
      </c>
      <c r="F493" s="231">
        <v>89</v>
      </c>
      <c r="G493" s="229" t="s">
        <v>1</v>
      </c>
      <c r="H493" s="405">
        <f ca="1">INDEX(PRODUTIVIDADES!$M:$M,MATCH(tbAREAS[[#This Row],[TIPO DE ÁREA]],PRODUTIVIDADES!$B:$B,0)+MATCH(tbAREAS[[#This Row],[LOCALIDADE]],PRODUTIVIDADES!$A:$A,0)-3)*tbAREAS[[#This Row],[ÁREA EM M²]]</f>
        <v>35.6</v>
      </c>
      <c r="L493" s="391"/>
    </row>
    <row r="494" spans="1:12" hidden="1" x14ac:dyDescent="0.25">
      <c r="A494" s="228" t="s">
        <v>2</v>
      </c>
      <c r="B494" s="234" t="s">
        <v>83</v>
      </c>
      <c r="C494" s="230" t="s">
        <v>84</v>
      </c>
      <c r="D494" s="230" t="s">
        <v>256</v>
      </c>
      <c r="E494" s="229" t="s">
        <v>9</v>
      </c>
      <c r="F494" s="231">
        <v>294.57</v>
      </c>
      <c r="G494" s="229" t="s">
        <v>1</v>
      </c>
      <c r="H494" s="405">
        <f ca="1">INDEX(PRODUTIVIDADES!$M:$M,MATCH(tbAREAS[[#This Row],[TIPO DE ÁREA]],PRODUTIVIDADES!$B:$B,0)+MATCH(tbAREAS[[#This Row],[LOCALIDADE]],PRODUTIVIDADES!$A:$A,0)-3)*tbAREAS[[#This Row],[ÁREA EM M²]]</f>
        <v>2297.6459999999997</v>
      </c>
      <c r="L494" s="391"/>
    </row>
    <row r="495" spans="1:12" hidden="1" x14ac:dyDescent="0.25">
      <c r="A495" s="228" t="s">
        <v>2</v>
      </c>
      <c r="B495" s="234" t="s">
        <v>83</v>
      </c>
      <c r="C495" s="230" t="s">
        <v>84</v>
      </c>
      <c r="D495" s="230" t="s">
        <v>256</v>
      </c>
      <c r="E495" s="229" t="s">
        <v>10</v>
      </c>
      <c r="F495" s="231">
        <v>734.53</v>
      </c>
      <c r="G495" s="229" t="s">
        <v>1</v>
      </c>
      <c r="H495" s="405">
        <f ca="1">INDEX(PRODUTIVIDADES!$M:$M,MATCH(tbAREAS[[#This Row],[TIPO DE ÁREA]],PRODUTIVIDADES!$B:$B,0)+MATCH(tbAREAS[[#This Row],[LOCALIDADE]],PRODUTIVIDADES!$A:$A,0)-3)*tbAREAS[[#This Row],[ÁREA EM M²]]</f>
        <v>2291.7336</v>
      </c>
      <c r="L495" s="391"/>
    </row>
    <row r="496" spans="1:12" hidden="1" x14ac:dyDescent="0.25">
      <c r="A496" s="228" t="s">
        <v>2</v>
      </c>
      <c r="B496" s="234" t="s">
        <v>83</v>
      </c>
      <c r="C496" s="230" t="s">
        <v>84</v>
      </c>
      <c r="D496" s="230" t="s">
        <v>256</v>
      </c>
      <c r="E496" s="229" t="s">
        <v>13</v>
      </c>
      <c r="F496" s="231">
        <v>116.14</v>
      </c>
      <c r="G496" s="229" t="s">
        <v>1</v>
      </c>
      <c r="H496" s="405">
        <f ca="1">INDEX(PRODUTIVIDADES!$M:$M,MATCH(tbAREAS[[#This Row],[TIPO DE ÁREA]],PRODUTIVIDADES!$B:$B,0)+MATCH(tbAREAS[[#This Row],[LOCALIDADE]],PRODUTIVIDADES!$A:$A,0)-3)*tbAREAS[[#This Row],[ÁREA EM M²]]</f>
        <v>362.35680000000002</v>
      </c>
      <c r="L496" s="391"/>
    </row>
    <row r="497" spans="1:12" hidden="1" x14ac:dyDescent="0.25">
      <c r="A497" s="228" t="s">
        <v>2</v>
      </c>
      <c r="B497" s="234" t="s">
        <v>83</v>
      </c>
      <c r="C497" s="230" t="s">
        <v>84</v>
      </c>
      <c r="D497" s="230" t="s">
        <v>256</v>
      </c>
      <c r="E497" s="229" t="s">
        <v>15</v>
      </c>
      <c r="F497" s="231">
        <v>537.89</v>
      </c>
      <c r="G497" s="229" t="s">
        <v>1</v>
      </c>
      <c r="H497" s="405">
        <f ca="1">INDEX(PRODUTIVIDADES!$M:$M,MATCH(tbAREAS[[#This Row],[TIPO DE ÁREA]],PRODUTIVIDADES!$B:$B,0)+MATCH(tbAREAS[[#This Row],[LOCALIDADE]],PRODUTIVIDADES!$A:$A,0)-3)*tbAREAS[[#This Row],[ÁREA EM M²]]</f>
        <v>371.14409999999998</v>
      </c>
      <c r="L497" s="391"/>
    </row>
    <row r="498" spans="1:12" hidden="1" x14ac:dyDescent="0.25">
      <c r="A498" s="228" t="s">
        <v>2</v>
      </c>
      <c r="B498" s="234" t="s">
        <v>83</v>
      </c>
      <c r="C498" s="230" t="s">
        <v>84</v>
      </c>
      <c r="D498" s="230" t="s">
        <v>256</v>
      </c>
      <c r="E498" s="229" t="s">
        <v>18</v>
      </c>
      <c r="F498" s="231">
        <v>188.36</v>
      </c>
      <c r="G498" s="229" t="s">
        <v>1</v>
      </c>
      <c r="H498" s="405">
        <f ca="1">INDEX(PRODUTIVIDADES!$M:$M,MATCH(tbAREAS[[#This Row],[TIPO DE ÁREA]],PRODUTIVIDADES!$B:$B,0)+MATCH(tbAREAS[[#This Row],[LOCALIDADE]],PRODUTIVIDADES!$A:$A,0)-3)*tbAREAS[[#This Row],[ÁREA EM M²]]</f>
        <v>8542.1260000000002</v>
      </c>
      <c r="L498" s="391"/>
    </row>
    <row r="499" spans="1:12" hidden="1" x14ac:dyDescent="0.25">
      <c r="A499" s="228" t="s">
        <v>2</v>
      </c>
      <c r="B499" s="234" t="s">
        <v>83</v>
      </c>
      <c r="C499" s="230" t="s">
        <v>84</v>
      </c>
      <c r="D499" s="230" t="s">
        <v>256</v>
      </c>
      <c r="E499" s="229" t="s">
        <v>21</v>
      </c>
      <c r="F499" s="231">
        <v>703.65</v>
      </c>
      <c r="G499" s="229" t="s">
        <v>1</v>
      </c>
      <c r="H499" s="405">
        <f ca="1">INDEX(PRODUTIVIDADES!$M:$M,MATCH(tbAREAS[[#This Row],[TIPO DE ÁREA]],PRODUTIVIDADES!$B:$B,0)+MATCH(tbAREAS[[#This Row],[LOCALIDADE]],PRODUTIVIDADES!$A:$A,0)-3)*tbAREAS[[#This Row],[ÁREA EM M²]]</f>
        <v>119.62050000000001</v>
      </c>
      <c r="L499" s="391"/>
    </row>
    <row r="500" spans="1:12" hidden="1" x14ac:dyDescent="0.25">
      <c r="A500" s="228" t="s">
        <v>2</v>
      </c>
      <c r="B500" s="234" t="s">
        <v>83</v>
      </c>
      <c r="C500" s="230" t="s">
        <v>84</v>
      </c>
      <c r="D500" s="230" t="s">
        <v>256</v>
      </c>
      <c r="E500" s="229" t="s">
        <v>22</v>
      </c>
      <c r="F500" s="231">
        <v>703.65</v>
      </c>
      <c r="G500" s="229" t="s">
        <v>1</v>
      </c>
      <c r="H500" s="405">
        <f ca="1">INDEX(PRODUTIVIDADES!$M:$M,MATCH(tbAREAS[[#This Row],[TIPO DE ÁREA]],PRODUTIVIDADES!$B:$B,0)+MATCH(tbAREAS[[#This Row],[LOCALIDADE]],PRODUTIVIDADES!$A:$A,0)-3)*tbAREAS[[#This Row],[ÁREA EM M²]]</f>
        <v>281.45999999999998</v>
      </c>
      <c r="L500" s="391"/>
    </row>
    <row r="501" spans="1:12" hidden="1" x14ac:dyDescent="0.25">
      <c r="A501" s="228" t="s">
        <v>2</v>
      </c>
      <c r="B501" s="234" t="s">
        <v>83</v>
      </c>
      <c r="C501" s="230" t="s">
        <v>257</v>
      </c>
      <c r="D501" s="230" t="s">
        <v>256</v>
      </c>
      <c r="E501" s="229" t="s">
        <v>10</v>
      </c>
      <c r="F501" s="231">
        <v>29.87</v>
      </c>
      <c r="G501" s="229" t="s">
        <v>1</v>
      </c>
      <c r="H501" s="405">
        <f ca="1">INDEX(PRODUTIVIDADES!$M:$M,MATCH(tbAREAS[[#This Row],[TIPO DE ÁREA]],PRODUTIVIDADES!$B:$B,0)+MATCH(tbAREAS[[#This Row],[LOCALIDADE]],PRODUTIVIDADES!$A:$A,0)-3)*tbAREAS[[#This Row],[ÁREA EM M²]]</f>
        <v>93.194400000000002</v>
      </c>
      <c r="L501" s="391"/>
    </row>
    <row r="502" spans="1:12" hidden="1" x14ac:dyDescent="0.25">
      <c r="A502" s="228" t="s">
        <v>2</v>
      </c>
      <c r="B502" s="234" t="s">
        <v>83</v>
      </c>
      <c r="C502" s="230" t="s">
        <v>257</v>
      </c>
      <c r="D502" s="230" t="s">
        <v>256</v>
      </c>
      <c r="E502" s="229" t="s">
        <v>14</v>
      </c>
      <c r="F502" s="231">
        <v>234.35</v>
      </c>
      <c r="G502" s="229" t="s">
        <v>1</v>
      </c>
      <c r="H502" s="405">
        <f ca="1">INDEX(PRODUTIVIDADES!$M:$M,MATCH(tbAREAS[[#This Row],[TIPO DE ÁREA]],PRODUTIVIDADES!$B:$B,0)+MATCH(tbAREAS[[#This Row],[LOCALIDADE]],PRODUTIVIDADES!$A:$A,0)-3)*tbAREAS[[#This Row],[ÁREA EM M²]]</f>
        <v>1991.9749999999999</v>
      </c>
      <c r="L502" s="391"/>
    </row>
    <row r="503" spans="1:12" hidden="1" x14ac:dyDescent="0.25">
      <c r="A503" s="228" t="s">
        <v>2</v>
      </c>
      <c r="B503" s="234" t="s">
        <v>83</v>
      </c>
      <c r="C503" s="230" t="s">
        <v>257</v>
      </c>
      <c r="D503" s="230" t="s">
        <v>256</v>
      </c>
      <c r="E503" s="229" t="s">
        <v>18</v>
      </c>
      <c r="F503" s="231">
        <v>60.63</v>
      </c>
      <c r="G503" s="229" t="s">
        <v>1</v>
      </c>
      <c r="H503" s="405">
        <f ca="1">INDEX(PRODUTIVIDADES!$M:$M,MATCH(tbAREAS[[#This Row],[TIPO DE ÁREA]],PRODUTIVIDADES!$B:$B,0)+MATCH(tbAREAS[[#This Row],[LOCALIDADE]],PRODUTIVIDADES!$A:$A,0)-3)*tbAREAS[[#This Row],[ÁREA EM M²]]</f>
        <v>2749.5705000000003</v>
      </c>
      <c r="L503" s="391"/>
    </row>
    <row r="504" spans="1:12" hidden="1" x14ac:dyDescent="0.25">
      <c r="A504" s="228" t="s">
        <v>2</v>
      </c>
      <c r="B504" s="234" t="s">
        <v>83</v>
      </c>
      <c r="C504" s="230" t="s">
        <v>257</v>
      </c>
      <c r="D504" s="230" t="s">
        <v>256</v>
      </c>
      <c r="E504" s="229" t="s">
        <v>20</v>
      </c>
      <c r="F504" s="231">
        <v>68.19</v>
      </c>
      <c r="G504" s="229" t="s">
        <v>1</v>
      </c>
      <c r="H504" s="405">
        <f ca="1">INDEX(PRODUTIVIDADES!$M:$M,MATCH(tbAREAS[[#This Row],[TIPO DE ÁREA]],PRODUTIVIDADES!$B:$B,0)+MATCH(tbAREAS[[#This Row],[LOCALIDADE]],PRODUTIVIDADES!$A:$A,0)-3)*tbAREAS[[#This Row],[ÁREA EM M²]]</f>
        <v>53.188200000000002</v>
      </c>
      <c r="L504" s="391"/>
    </row>
    <row r="505" spans="1:12" hidden="1" x14ac:dyDescent="0.25">
      <c r="A505" s="228" t="s">
        <v>2</v>
      </c>
      <c r="B505" s="234" t="s">
        <v>83</v>
      </c>
      <c r="C505" s="230" t="s">
        <v>257</v>
      </c>
      <c r="D505" s="230" t="s">
        <v>256</v>
      </c>
      <c r="E505" s="229" t="s">
        <v>21</v>
      </c>
      <c r="F505" s="231">
        <v>34.1</v>
      </c>
      <c r="G505" s="229" t="s">
        <v>1</v>
      </c>
      <c r="H505" s="405">
        <f ca="1">INDEX(PRODUTIVIDADES!$M:$M,MATCH(tbAREAS[[#This Row],[TIPO DE ÁREA]],PRODUTIVIDADES!$B:$B,0)+MATCH(tbAREAS[[#This Row],[LOCALIDADE]],PRODUTIVIDADES!$A:$A,0)-3)*tbAREAS[[#This Row],[ÁREA EM M²]]</f>
        <v>5.7970000000000006</v>
      </c>
      <c r="L505" s="391"/>
    </row>
    <row r="506" spans="1:12" hidden="1" x14ac:dyDescent="0.25">
      <c r="A506" s="228" t="s">
        <v>2</v>
      </c>
      <c r="B506" s="234" t="s">
        <v>83</v>
      </c>
      <c r="C506" s="230" t="s">
        <v>257</v>
      </c>
      <c r="D506" s="230" t="s">
        <v>256</v>
      </c>
      <c r="E506" s="229" t="s">
        <v>22</v>
      </c>
      <c r="F506" s="231">
        <v>34.1</v>
      </c>
      <c r="G506" s="229" t="s">
        <v>1</v>
      </c>
      <c r="H506" s="405">
        <f ca="1">INDEX(PRODUTIVIDADES!$M:$M,MATCH(tbAREAS[[#This Row],[TIPO DE ÁREA]],PRODUTIVIDADES!$B:$B,0)+MATCH(tbAREAS[[#This Row],[LOCALIDADE]],PRODUTIVIDADES!$A:$A,0)-3)*tbAREAS[[#This Row],[ÁREA EM M²]]</f>
        <v>13.64</v>
      </c>
      <c r="L506" s="391"/>
    </row>
    <row r="507" spans="1:12" hidden="1" x14ac:dyDescent="0.25">
      <c r="A507" s="228" t="s">
        <v>2</v>
      </c>
      <c r="B507" s="234" t="s">
        <v>83</v>
      </c>
      <c r="C507" s="230" t="s">
        <v>258</v>
      </c>
      <c r="D507" s="230" t="s">
        <v>256</v>
      </c>
      <c r="E507" s="229" t="s">
        <v>10</v>
      </c>
      <c r="F507" s="231">
        <v>115.3</v>
      </c>
      <c r="G507" s="229" t="s">
        <v>1</v>
      </c>
      <c r="H507" s="405">
        <f ca="1">INDEX(PRODUTIVIDADES!$M:$M,MATCH(tbAREAS[[#This Row],[TIPO DE ÁREA]],PRODUTIVIDADES!$B:$B,0)+MATCH(tbAREAS[[#This Row],[LOCALIDADE]],PRODUTIVIDADES!$A:$A,0)-3)*tbAREAS[[#This Row],[ÁREA EM M²]]</f>
        <v>359.73599999999999</v>
      </c>
      <c r="L507" s="391"/>
    </row>
    <row r="508" spans="1:12" hidden="1" x14ac:dyDescent="0.25">
      <c r="A508" s="228" t="s">
        <v>2</v>
      </c>
      <c r="B508" s="234" t="s">
        <v>83</v>
      </c>
      <c r="C508" s="230" t="s">
        <v>258</v>
      </c>
      <c r="D508" s="230" t="s">
        <v>256</v>
      </c>
      <c r="E508" s="229" t="s">
        <v>13</v>
      </c>
      <c r="F508" s="231">
        <v>70.55</v>
      </c>
      <c r="G508" s="229" t="s">
        <v>1</v>
      </c>
      <c r="H508" s="405">
        <f ca="1">INDEX(PRODUTIVIDADES!$M:$M,MATCH(tbAREAS[[#This Row],[TIPO DE ÁREA]],PRODUTIVIDADES!$B:$B,0)+MATCH(tbAREAS[[#This Row],[LOCALIDADE]],PRODUTIVIDADES!$A:$A,0)-3)*tbAREAS[[#This Row],[ÁREA EM M²]]</f>
        <v>220.11599999999999</v>
      </c>
      <c r="L508" s="391"/>
    </row>
    <row r="509" spans="1:12" hidden="1" x14ac:dyDescent="0.25">
      <c r="A509" s="228" t="s">
        <v>2</v>
      </c>
      <c r="B509" s="234" t="s">
        <v>83</v>
      </c>
      <c r="C509" s="230" t="s">
        <v>258</v>
      </c>
      <c r="D509" s="230" t="s">
        <v>256</v>
      </c>
      <c r="E509" s="229" t="s">
        <v>18</v>
      </c>
      <c r="F509" s="231">
        <v>20.79</v>
      </c>
      <c r="G509" s="229" t="s">
        <v>1</v>
      </c>
      <c r="H509" s="405">
        <f ca="1">INDEX(PRODUTIVIDADES!$M:$M,MATCH(tbAREAS[[#This Row],[TIPO DE ÁREA]],PRODUTIVIDADES!$B:$B,0)+MATCH(tbAREAS[[#This Row],[LOCALIDADE]],PRODUTIVIDADES!$A:$A,0)-3)*tbAREAS[[#This Row],[ÁREA EM M²]]</f>
        <v>942.82650000000001</v>
      </c>
      <c r="L509" s="391"/>
    </row>
    <row r="510" spans="1:12" hidden="1" x14ac:dyDescent="0.25">
      <c r="A510" s="228" t="s">
        <v>2</v>
      </c>
      <c r="B510" s="234" t="s">
        <v>83</v>
      </c>
      <c r="C510" s="230" t="s">
        <v>258</v>
      </c>
      <c r="D510" s="230" t="s">
        <v>256</v>
      </c>
      <c r="E510" s="229" t="s">
        <v>21</v>
      </c>
      <c r="F510" s="231">
        <v>50.75</v>
      </c>
      <c r="G510" s="229" t="s">
        <v>1</v>
      </c>
      <c r="H510" s="405">
        <f ca="1">INDEX(PRODUTIVIDADES!$M:$M,MATCH(tbAREAS[[#This Row],[TIPO DE ÁREA]],PRODUTIVIDADES!$B:$B,0)+MATCH(tbAREAS[[#This Row],[LOCALIDADE]],PRODUTIVIDADES!$A:$A,0)-3)*tbAREAS[[#This Row],[ÁREA EM M²]]</f>
        <v>8.6275000000000013</v>
      </c>
      <c r="L510" s="391"/>
    </row>
    <row r="511" spans="1:12" hidden="1" x14ac:dyDescent="0.25">
      <c r="A511" s="228" t="s">
        <v>2</v>
      </c>
      <c r="B511" s="234" t="s">
        <v>83</v>
      </c>
      <c r="C511" s="230" t="s">
        <v>258</v>
      </c>
      <c r="D511" s="230" t="s">
        <v>256</v>
      </c>
      <c r="E511" s="229" t="s">
        <v>22</v>
      </c>
      <c r="F511" s="231">
        <v>50.75</v>
      </c>
      <c r="G511" s="229" t="s">
        <v>1</v>
      </c>
      <c r="H511" s="405">
        <f ca="1">INDEX(PRODUTIVIDADES!$M:$M,MATCH(tbAREAS[[#This Row],[TIPO DE ÁREA]],PRODUTIVIDADES!$B:$B,0)+MATCH(tbAREAS[[#This Row],[LOCALIDADE]],PRODUTIVIDADES!$A:$A,0)-3)*tbAREAS[[#This Row],[ÁREA EM M²]]</f>
        <v>20.3</v>
      </c>
      <c r="L511" s="391"/>
    </row>
    <row r="512" spans="1:12" hidden="1" x14ac:dyDescent="0.25">
      <c r="A512" s="228" t="s">
        <v>2</v>
      </c>
      <c r="B512" s="234" t="s">
        <v>83</v>
      </c>
      <c r="C512" s="230" t="s">
        <v>259</v>
      </c>
      <c r="D512" s="230" t="s">
        <v>256</v>
      </c>
      <c r="E512" s="229" t="s">
        <v>10</v>
      </c>
      <c r="F512" s="231">
        <v>39</v>
      </c>
      <c r="G512" s="229" t="s">
        <v>1</v>
      </c>
      <c r="H512" s="405">
        <f ca="1">INDEX(PRODUTIVIDADES!$M:$M,MATCH(tbAREAS[[#This Row],[TIPO DE ÁREA]],PRODUTIVIDADES!$B:$B,0)+MATCH(tbAREAS[[#This Row],[LOCALIDADE]],PRODUTIVIDADES!$A:$A,0)-3)*tbAREAS[[#This Row],[ÁREA EM M²]]</f>
        <v>121.68</v>
      </c>
      <c r="L512" s="391"/>
    </row>
    <row r="513" spans="1:12" hidden="1" x14ac:dyDescent="0.25">
      <c r="A513" s="228" t="s">
        <v>2</v>
      </c>
      <c r="B513" s="234" t="s">
        <v>83</v>
      </c>
      <c r="C513" s="230" t="s">
        <v>259</v>
      </c>
      <c r="D513" s="230" t="s">
        <v>256</v>
      </c>
      <c r="E513" s="229" t="s">
        <v>15</v>
      </c>
      <c r="F513" s="231">
        <v>99.05</v>
      </c>
      <c r="G513" s="229" t="s">
        <v>1</v>
      </c>
      <c r="H513" s="405">
        <f ca="1">INDEX(PRODUTIVIDADES!$M:$M,MATCH(tbAREAS[[#This Row],[TIPO DE ÁREA]],PRODUTIVIDADES!$B:$B,0)+MATCH(tbAREAS[[#This Row],[LOCALIDADE]],PRODUTIVIDADES!$A:$A,0)-3)*tbAREAS[[#This Row],[ÁREA EM M²]]</f>
        <v>68.344499999999996</v>
      </c>
      <c r="L513" s="391"/>
    </row>
    <row r="514" spans="1:12" hidden="1" x14ac:dyDescent="0.25">
      <c r="A514" s="228" t="s">
        <v>2</v>
      </c>
      <c r="B514" s="234" t="s">
        <v>83</v>
      </c>
      <c r="C514" s="230" t="s">
        <v>259</v>
      </c>
      <c r="D514" s="230" t="s">
        <v>256</v>
      </c>
      <c r="E514" s="229" t="s">
        <v>18</v>
      </c>
      <c r="F514" s="231">
        <v>18.239999999999998</v>
      </c>
      <c r="G514" s="229" t="s">
        <v>1</v>
      </c>
      <c r="H514" s="405">
        <f ca="1">INDEX(PRODUTIVIDADES!$M:$M,MATCH(tbAREAS[[#This Row],[TIPO DE ÁREA]],PRODUTIVIDADES!$B:$B,0)+MATCH(tbAREAS[[#This Row],[LOCALIDADE]],PRODUTIVIDADES!$A:$A,0)-3)*tbAREAS[[#This Row],[ÁREA EM M²]]</f>
        <v>827.18399999999997</v>
      </c>
      <c r="L514" s="391"/>
    </row>
    <row r="515" spans="1:12" hidden="1" x14ac:dyDescent="0.25">
      <c r="A515" s="228" t="s">
        <v>2</v>
      </c>
      <c r="B515" s="234" t="s">
        <v>83</v>
      </c>
      <c r="C515" s="230" t="s">
        <v>259</v>
      </c>
      <c r="D515" s="230" t="s">
        <v>256</v>
      </c>
      <c r="E515" s="229" t="s">
        <v>20</v>
      </c>
      <c r="F515" s="231">
        <v>99.05</v>
      </c>
      <c r="G515" s="229" t="s">
        <v>1</v>
      </c>
      <c r="H515" s="405">
        <f ca="1">INDEX(PRODUTIVIDADES!$M:$M,MATCH(tbAREAS[[#This Row],[TIPO DE ÁREA]],PRODUTIVIDADES!$B:$B,0)+MATCH(tbAREAS[[#This Row],[LOCALIDADE]],PRODUTIVIDADES!$A:$A,0)-3)*tbAREAS[[#This Row],[ÁREA EM M²]]</f>
        <v>77.259</v>
      </c>
      <c r="L515" s="391"/>
    </row>
    <row r="516" spans="1:12" hidden="1" x14ac:dyDescent="0.25">
      <c r="A516" s="228" t="s">
        <v>2</v>
      </c>
      <c r="B516" s="234" t="s">
        <v>83</v>
      </c>
      <c r="C516" s="230" t="s">
        <v>259</v>
      </c>
      <c r="D516" s="230" t="s">
        <v>256</v>
      </c>
      <c r="E516" s="229" t="s">
        <v>21</v>
      </c>
      <c r="F516" s="231">
        <v>11</v>
      </c>
      <c r="G516" s="229" t="s">
        <v>1</v>
      </c>
      <c r="H516" s="405">
        <f ca="1">INDEX(PRODUTIVIDADES!$M:$M,MATCH(tbAREAS[[#This Row],[TIPO DE ÁREA]],PRODUTIVIDADES!$B:$B,0)+MATCH(tbAREAS[[#This Row],[LOCALIDADE]],PRODUTIVIDADES!$A:$A,0)-3)*tbAREAS[[#This Row],[ÁREA EM M²]]</f>
        <v>1.87</v>
      </c>
      <c r="L516" s="391"/>
    </row>
    <row r="517" spans="1:12" hidden="1" x14ac:dyDescent="0.25">
      <c r="A517" s="228" t="s">
        <v>2</v>
      </c>
      <c r="B517" s="234" t="s">
        <v>83</v>
      </c>
      <c r="C517" s="230" t="s">
        <v>259</v>
      </c>
      <c r="D517" s="230" t="s">
        <v>256</v>
      </c>
      <c r="E517" s="229" t="s">
        <v>22</v>
      </c>
      <c r="F517" s="231">
        <v>11</v>
      </c>
      <c r="G517" s="229" t="s">
        <v>1</v>
      </c>
      <c r="H517" s="405">
        <f ca="1">INDEX(PRODUTIVIDADES!$M:$M,MATCH(tbAREAS[[#This Row],[TIPO DE ÁREA]],PRODUTIVIDADES!$B:$B,0)+MATCH(tbAREAS[[#This Row],[LOCALIDADE]],PRODUTIVIDADES!$A:$A,0)-3)*tbAREAS[[#This Row],[ÁREA EM M²]]</f>
        <v>4.4000000000000004</v>
      </c>
      <c r="L517" s="391"/>
    </row>
    <row r="518" spans="1:12" hidden="1" x14ac:dyDescent="0.25">
      <c r="A518" s="228" t="s">
        <v>2</v>
      </c>
      <c r="B518" s="263" t="s">
        <v>260</v>
      </c>
      <c r="C518" s="230" t="s">
        <v>261</v>
      </c>
      <c r="D518" s="230" t="s">
        <v>262</v>
      </c>
      <c r="E518" s="229" t="s">
        <v>10</v>
      </c>
      <c r="F518" s="231">
        <v>101.8</v>
      </c>
      <c r="G518" s="229" t="s">
        <v>1</v>
      </c>
      <c r="H518" s="405">
        <f ca="1">INDEX(PRODUTIVIDADES!$M:$M,MATCH(tbAREAS[[#This Row],[TIPO DE ÁREA]],PRODUTIVIDADES!$B:$B,0)+MATCH(tbAREAS[[#This Row],[LOCALIDADE]],PRODUTIVIDADES!$A:$A,0)-3)*tbAREAS[[#This Row],[ÁREA EM M²]]</f>
        <v>317.61599999999999</v>
      </c>
      <c r="L518" s="391"/>
    </row>
    <row r="519" spans="1:12" hidden="1" x14ac:dyDescent="0.25">
      <c r="A519" s="228" t="s">
        <v>2</v>
      </c>
      <c r="B519" s="263" t="s">
        <v>260</v>
      </c>
      <c r="C519" s="230" t="s">
        <v>261</v>
      </c>
      <c r="D519" s="230" t="s">
        <v>262</v>
      </c>
      <c r="E519" s="229" t="s">
        <v>14</v>
      </c>
      <c r="F519" s="231">
        <v>320</v>
      </c>
      <c r="G519" s="229" t="s">
        <v>1</v>
      </c>
      <c r="H519" s="405">
        <f ca="1">INDEX(PRODUTIVIDADES!$M:$M,MATCH(tbAREAS[[#This Row],[TIPO DE ÁREA]],PRODUTIVIDADES!$B:$B,0)+MATCH(tbAREAS[[#This Row],[LOCALIDADE]],PRODUTIVIDADES!$A:$A,0)-3)*tbAREAS[[#This Row],[ÁREA EM M²]]</f>
        <v>2720</v>
      </c>
      <c r="L519" s="391"/>
    </row>
    <row r="520" spans="1:12" hidden="1" x14ac:dyDescent="0.25">
      <c r="A520" s="228" t="s">
        <v>2</v>
      </c>
      <c r="B520" s="263" t="s">
        <v>260</v>
      </c>
      <c r="C520" s="230" t="s">
        <v>261</v>
      </c>
      <c r="D520" s="230" t="s">
        <v>262</v>
      </c>
      <c r="E520" s="229" t="s">
        <v>18</v>
      </c>
      <c r="F520" s="231">
        <v>22.14</v>
      </c>
      <c r="G520" s="229" t="s">
        <v>1</v>
      </c>
      <c r="H520" s="405">
        <f ca="1">INDEX(PRODUTIVIDADES!$M:$M,MATCH(tbAREAS[[#This Row],[TIPO DE ÁREA]],PRODUTIVIDADES!$B:$B,0)+MATCH(tbAREAS[[#This Row],[LOCALIDADE]],PRODUTIVIDADES!$A:$A,0)-3)*tbAREAS[[#This Row],[ÁREA EM M²]]</f>
        <v>1004.0490000000001</v>
      </c>
      <c r="L520" s="391"/>
    </row>
    <row r="521" spans="1:12" hidden="1" x14ac:dyDescent="0.25">
      <c r="A521" s="228" t="s">
        <v>2</v>
      </c>
      <c r="B521" s="263" t="s">
        <v>260</v>
      </c>
      <c r="C521" s="230" t="s">
        <v>261</v>
      </c>
      <c r="D521" s="230" t="s">
        <v>262</v>
      </c>
      <c r="E521" s="229" t="s">
        <v>20</v>
      </c>
      <c r="F521" s="231">
        <v>4.5999999999999996</v>
      </c>
      <c r="G521" s="229" t="s">
        <v>1</v>
      </c>
      <c r="H521" s="405">
        <f ca="1">INDEX(PRODUTIVIDADES!$M:$M,MATCH(tbAREAS[[#This Row],[TIPO DE ÁREA]],PRODUTIVIDADES!$B:$B,0)+MATCH(tbAREAS[[#This Row],[LOCALIDADE]],PRODUTIVIDADES!$A:$A,0)-3)*tbAREAS[[#This Row],[ÁREA EM M²]]</f>
        <v>3.5879999999999996</v>
      </c>
      <c r="L521" s="391"/>
    </row>
    <row r="522" spans="1:12" hidden="1" x14ac:dyDescent="0.25">
      <c r="A522" s="228" t="s">
        <v>2</v>
      </c>
      <c r="B522" s="263" t="s">
        <v>260</v>
      </c>
      <c r="C522" s="230" t="s">
        <v>261</v>
      </c>
      <c r="D522" s="230" t="s">
        <v>262</v>
      </c>
      <c r="E522" s="229" t="s">
        <v>21</v>
      </c>
      <c r="F522" s="231">
        <v>79.38</v>
      </c>
      <c r="G522" s="229" t="s">
        <v>1</v>
      </c>
      <c r="H522" s="405">
        <f ca="1">INDEX(PRODUTIVIDADES!$M:$M,MATCH(tbAREAS[[#This Row],[TIPO DE ÁREA]],PRODUTIVIDADES!$B:$B,0)+MATCH(tbAREAS[[#This Row],[LOCALIDADE]],PRODUTIVIDADES!$A:$A,0)-3)*tbAREAS[[#This Row],[ÁREA EM M²]]</f>
        <v>13.4946</v>
      </c>
      <c r="L522" s="391"/>
    </row>
    <row r="523" spans="1:12" hidden="1" x14ac:dyDescent="0.25">
      <c r="A523" s="228" t="s">
        <v>2</v>
      </c>
      <c r="B523" s="263" t="s">
        <v>260</v>
      </c>
      <c r="C523" s="230" t="s">
        <v>261</v>
      </c>
      <c r="D523" s="230" t="s">
        <v>262</v>
      </c>
      <c r="E523" s="229" t="s">
        <v>22</v>
      </c>
      <c r="F523" s="231">
        <v>79.38</v>
      </c>
      <c r="G523" s="229" t="s">
        <v>1</v>
      </c>
      <c r="H523" s="405">
        <f ca="1">INDEX(PRODUTIVIDADES!$M:$M,MATCH(tbAREAS[[#This Row],[TIPO DE ÁREA]],PRODUTIVIDADES!$B:$B,0)+MATCH(tbAREAS[[#This Row],[LOCALIDADE]],PRODUTIVIDADES!$A:$A,0)-3)*tbAREAS[[#This Row],[ÁREA EM M²]]</f>
        <v>31.751999999999999</v>
      </c>
      <c r="L523" s="391"/>
    </row>
    <row r="524" spans="1:12" hidden="1" x14ac:dyDescent="0.25">
      <c r="A524" s="228" t="s">
        <v>2</v>
      </c>
      <c r="B524" s="263" t="s">
        <v>260</v>
      </c>
      <c r="C524" s="230" t="s">
        <v>263</v>
      </c>
      <c r="D524" s="230" t="s">
        <v>262</v>
      </c>
      <c r="E524" s="229" t="s">
        <v>10</v>
      </c>
      <c r="F524" s="231">
        <v>48.64</v>
      </c>
      <c r="G524" s="229" t="s">
        <v>1</v>
      </c>
      <c r="H524" s="405">
        <f ca="1">INDEX(PRODUTIVIDADES!$M:$M,MATCH(tbAREAS[[#This Row],[TIPO DE ÁREA]],PRODUTIVIDADES!$B:$B,0)+MATCH(tbAREAS[[#This Row],[LOCALIDADE]],PRODUTIVIDADES!$A:$A,0)-3)*tbAREAS[[#This Row],[ÁREA EM M²]]</f>
        <v>151.7568</v>
      </c>
      <c r="L524" s="391"/>
    </row>
    <row r="525" spans="1:12" hidden="1" x14ac:dyDescent="0.25">
      <c r="A525" s="228" t="s">
        <v>2</v>
      </c>
      <c r="B525" s="263" t="s">
        <v>260</v>
      </c>
      <c r="C525" s="230" t="s">
        <v>263</v>
      </c>
      <c r="D525" s="230" t="s">
        <v>262</v>
      </c>
      <c r="E525" s="229" t="s">
        <v>14</v>
      </c>
      <c r="F525" s="231">
        <v>318.19</v>
      </c>
      <c r="G525" s="229" t="s">
        <v>1</v>
      </c>
      <c r="H525" s="405">
        <f ca="1">INDEX(PRODUTIVIDADES!$M:$M,MATCH(tbAREAS[[#This Row],[TIPO DE ÁREA]],PRODUTIVIDADES!$B:$B,0)+MATCH(tbAREAS[[#This Row],[LOCALIDADE]],PRODUTIVIDADES!$A:$A,0)-3)*tbAREAS[[#This Row],[ÁREA EM M²]]</f>
        <v>2704.6149999999998</v>
      </c>
      <c r="L525" s="391"/>
    </row>
    <row r="526" spans="1:12" hidden="1" x14ac:dyDescent="0.25">
      <c r="A526" s="228" t="s">
        <v>2</v>
      </c>
      <c r="B526" s="263" t="s">
        <v>260</v>
      </c>
      <c r="C526" s="230" t="s">
        <v>263</v>
      </c>
      <c r="D526" s="230" t="s">
        <v>262</v>
      </c>
      <c r="E526" s="229" t="s">
        <v>15</v>
      </c>
      <c r="F526" s="231">
        <v>116.14</v>
      </c>
      <c r="G526" s="229" t="s">
        <v>1</v>
      </c>
      <c r="H526" s="405">
        <f ca="1">INDEX(PRODUTIVIDADES!$M:$M,MATCH(tbAREAS[[#This Row],[TIPO DE ÁREA]],PRODUTIVIDADES!$B:$B,0)+MATCH(tbAREAS[[#This Row],[LOCALIDADE]],PRODUTIVIDADES!$A:$A,0)-3)*tbAREAS[[#This Row],[ÁREA EM M²]]</f>
        <v>80.136599999999987</v>
      </c>
      <c r="L526" s="391"/>
    </row>
    <row r="527" spans="1:12" hidden="1" x14ac:dyDescent="0.25">
      <c r="A527" s="228" t="s">
        <v>2</v>
      </c>
      <c r="B527" s="263" t="s">
        <v>260</v>
      </c>
      <c r="C527" s="230" t="s">
        <v>263</v>
      </c>
      <c r="D527" s="230" t="s">
        <v>262</v>
      </c>
      <c r="E527" s="229" t="s">
        <v>17</v>
      </c>
      <c r="F527" s="231">
        <v>125.72</v>
      </c>
      <c r="G527" s="229" t="s">
        <v>1</v>
      </c>
      <c r="H527" s="405">
        <f ca="1">INDEX(PRODUTIVIDADES!$M:$M,MATCH(tbAREAS[[#This Row],[TIPO DE ÁREA]],PRODUTIVIDADES!$B:$B,0)+MATCH(tbAREAS[[#This Row],[LOCALIDADE]],PRODUTIVIDADES!$A:$A,0)-3)*tbAREAS[[#This Row],[ÁREA EM M²]]</f>
        <v>294.1848</v>
      </c>
      <c r="L527" s="391"/>
    </row>
    <row r="528" spans="1:12" hidden="1" x14ac:dyDescent="0.25">
      <c r="A528" s="228" t="s">
        <v>2</v>
      </c>
      <c r="B528" s="263" t="s">
        <v>260</v>
      </c>
      <c r="C528" s="230" t="s">
        <v>263</v>
      </c>
      <c r="D528" s="230" t="s">
        <v>262</v>
      </c>
      <c r="E528" s="229" t="s">
        <v>18</v>
      </c>
      <c r="F528" s="231">
        <v>20.72</v>
      </c>
      <c r="G528" s="229" t="s">
        <v>1</v>
      </c>
      <c r="H528" s="405">
        <f ca="1">INDEX(PRODUTIVIDADES!$M:$M,MATCH(tbAREAS[[#This Row],[TIPO DE ÁREA]],PRODUTIVIDADES!$B:$B,0)+MATCH(tbAREAS[[#This Row],[LOCALIDADE]],PRODUTIVIDADES!$A:$A,0)-3)*tbAREAS[[#This Row],[ÁREA EM M²]]</f>
        <v>939.65199999999993</v>
      </c>
      <c r="L528" s="391"/>
    </row>
    <row r="529" spans="1:12" hidden="1" x14ac:dyDescent="0.25">
      <c r="A529" s="228" t="s">
        <v>2</v>
      </c>
      <c r="B529" s="263" t="s">
        <v>260</v>
      </c>
      <c r="C529" s="230" t="s">
        <v>263</v>
      </c>
      <c r="D529" s="230" t="s">
        <v>262</v>
      </c>
      <c r="E529" s="229" t="s">
        <v>20</v>
      </c>
      <c r="F529" s="231">
        <v>116.14</v>
      </c>
      <c r="G529" s="229" t="s">
        <v>1</v>
      </c>
      <c r="H529" s="405">
        <f ca="1">INDEX(PRODUTIVIDADES!$M:$M,MATCH(tbAREAS[[#This Row],[TIPO DE ÁREA]],PRODUTIVIDADES!$B:$B,0)+MATCH(tbAREAS[[#This Row],[LOCALIDADE]],PRODUTIVIDADES!$A:$A,0)-3)*tbAREAS[[#This Row],[ÁREA EM M²]]</f>
        <v>90.589200000000005</v>
      </c>
      <c r="L529" s="391"/>
    </row>
    <row r="530" spans="1:12" hidden="1" x14ac:dyDescent="0.25">
      <c r="A530" s="228" t="s">
        <v>2</v>
      </c>
      <c r="B530" s="263" t="s">
        <v>260</v>
      </c>
      <c r="C530" s="230" t="s">
        <v>263</v>
      </c>
      <c r="D530" s="230" t="s">
        <v>262</v>
      </c>
      <c r="E530" s="229" t="s">
        <v>21</v>
      </c>
      <c r="F530" s="231">
        <v>58</v>
      </c>
      <c r="G530" s="229" t="s">
        <v>1</v>
      </c>
      <c r="H530" s="405">
        <f ca="1">INDEX(PRODUTIVIDADES!$M:$M,MATCH(tbAREAS[[#This Row],[TIPO DE ÁREA]],PRODUTIVIDADES!$B:$B,0)+MATCH(tbAREAS[[#This Row],[LOCALIDADE]],PRODUTIVIDADES!$A:$A,0)-3)*tbAREAS[[#This Row],[ÁREA EM M²]]</f>
        <v>9.8600000000000012</v>
      </c>
      <c r="L530" s="391"/>
    </row>
    <row r="531" spans="1:12" hidden="1" x14ac:dyDescent="0.25">
      <c r="A531" s="228" t="s">
        <v>2</v>
      </c>
      <c r="B531" s="263" t="s">
        <v>260</v>
      </c>
      <c r="C531" s="230" t="s">
        <v>263</v>
      </c>
      <c r="D531" s="230" t="s">
        <v>262</v>
      </c>
      <c r="E531" s="229" t="s">
        <v>22</v>
      </c>
      <c r="F531" s="231">
        <v>58</v>
      </c>
      <c r="G531" s="229" t="s">
        <v>1</v>
      </c>
      <c r="H531" s="405">
        <f ca="1">INDEX(PRODUTIVIDADES!$M:$M,MATCH(tbAREAS[[#This Row],[TIPO DE ÁREA]],PRODUTIVIDADES!$B:$B,0)+MATCH(tbAREAS[[#This Row],[LOCALIDADE]],PRODUTIVIDADES!$A:$A,0)-3)*tbAREAS[[#This Row],[ÁREA EM M²]]</f>
        <v>23.200000000000003</v>
      </c>
      <c r="L531" s="391"/>
    </row>
    <row r="532" spans="1:12" hidden="1" x14ac:dyDescent="0.25">
      <c r="A532" s="228" t="s">
        <v>2</v>
      </c>
      <c r="B532" s="234" t="s">
        <v>65</v>
      </c>
      <c r="C532" s="230" t="s">
        <v>70</v>
      </c>
      <c r="D532" s="230" t="s">
        <v>166</v>
      </c>
      <c r="E532" s="229" t="s">
        <v>9</v>
      </c>
      <c r="F532" s="231">
        <v>756.79</v>
      </c>
      <c r="G532" s="229" t="s">
        <v>1</v>
      </c>
      <c r="H532" s="405">
        <f ca="1">INDEX(PRODUTIVIDADES!$M:$M,MATCH(tbAREAS[[#This Row],[TIPO DE ÁREA]],PRODUTIVIDADES!$B:$B,0)+MATCH(tbAREAS[[#This Row],[LOCALIDADE]],PRODUTIVIDADES!$A:$A,0)-3)*tbAREAS[[#This Row],[ÁREA EM M²]]</f>
        <v>5902.9619999999995</v>
      </c>
      <c r="L532" s="391"/>
    </row>
    <row r="533" spans="1:12" hidden="1" x14ac:dyDescent="0.25">
      <c r="A533" s="228" t="s">
        <v>2</v>
      </c>
      <c r="B533" s="234" t="s">
        <v>65</v>
      </c>
      <c r="C533" s="230" t="s">
        <v>70</v>
      </c>
      <c r="D533" s="230" t="s">
        <v>166</v>
      </c>
      <c r="E533" s="229" t="s">
        <v>10</v>
      </c>
      <c r="F533" s="231">
        <v>836.18</v>
      </c>
      <c r="G533" s="229" t="s">
        <v>1</v>
      </c>
      <c r="H533" s="405">
        <f ca="1">INDEX(PRODUTIVIDADES!$M:$M,MATCH(tbAREAS[[#This Row],[TIPO DE ÁREA]],PRODUTIVIDADES!$B:$B,0)+MATCH(tbAREAS[[#This Row],[LOCALIDADE]],PRODUTIVIDADES!$A:$A,0)-3)*tbAREAS[[#This Row],[ÁREA EM M²]]</f>
        <v>2608.8815999999997</v>
      </c>
      <c r="L533" s="391"/>
    </row>
    <row r="534" spans="1:12" hidden="1" x14ac:dyDescent="0.25">
      <c r="A534" s="228" t="s">
        <v>2</v>
      </c>
      <c r="B534" s="234" t="s">
        <v>65</v>
      </c>
      <c r="C534" s="230" t="s">
        <v>70</v>
      </c>
      <c r="D534" s="230" t="s">
        <v>166</v>
      </c>
      <c r="E534" s="229" t="s">
        <v>11</v>
      </c>
      <c r="F534" s="231">
        <v>296.33999999999997</v>
      </c>
      <c r="G534" s="229" t="s">
        <v>1</v>
      </c>
      <c r="H534" s="405">
        <f ca="1">INDEX(PRODUTIVIDADES!$M:$M,MATCH(tbAREAS[[#This Row],[TIPO DE ÁREA]],PRODUTIVIDADES!$B:$B,0)+MATCH(tbAREAS[[#This Row],[LOCALIDADE]],PRODUTIVIDADES!$A:$A,0)-3)*tbAREAS[[#This Row],[ÁREA EM M²]]</f>
        <v>924.58079999999995</v>
      </c>
      <c r="L534" s="391"/>
    </row>
    <row r="535" spans="1:12" hidden="1" x14ac:dyDescent="0.25">
      <c r="A535" s="228" t="s">
        <v>2</v>
      </c>
      <c r="B535" s="234" t="s">
        <v>65</v>
      </c>
      <c r="C535" s="230" t="s">
        <v>70</v>
      </c>
      <c r="D535" s="230" t="s">
        <v>166</v>
      </c>
      <c r="E535" s="229" t="s">
        <v>14</v>
      </c>
      <c r="F535" s="231">
        <v>1338.17</v>
      </c>
      <c r="G535" s="229" t="s">
        <v>1</v>
      </c>
      <c r="H535" s="405">
        <f ca="1">INDEX(PRODUTIVIDADES!$M:$M,MATCH(tbAREAS[[#This Row],[TIPO DE ÁREA]],PRODUTIVIDADES!$B:$B,0)+MATCH(tbAREAS[[#This Row],[LOCALIDADE]],PRODUTIVIDADES!$A:$A,0)-3)*tbAREAS[[#This Row],[ÁREA EM M²]]</f>
        <v>11374.445</v>
      </c>
      <c r="L535" s="391"/>
    </row>
    <row r="536" spans="1:12" hidden="1" x14ac:dyDescent="0.25">
      <c r="A536" s="228" t="s">
        <v>2</v>
      </c>
      <c r="B536" s="234" t="s">
        <v>65</v>
      </c>
      <c r="C536" s="230" t="s">
        <v>70</v>
      </c>
      <c r="D536" s="230" t="s">
        <v>166</v>
      </c>
      <c r="E536" s="229" t="s">
        <v>15</v>
      </c>
      <c r="F536" s="231">
        <v>213.25</v>
      </c>
      <c r="G536" s="229" t="s">
        <v>1</v>
      </c>
      <c r="H536" s="405">
        <f ca="1">INDEX(PRODUTIVIDADES!$M:$M,MATCH(tbAREAS[[#This Row],[TIPO DE ÁREA]],PRODUTIVIDADES!$B:$B,0)+MATCH(tbAREAS[[#This Row],[LOCALIDADE]],PRODUTIVIDADES!$A:$A,0)-3)*tbAREAS[[#This Row],[ÁREA EM M²]]</f>
        <v>147.14249999999998</v>
      </c>
      <c r="L536" s="391"/>
    </row>
    <row r="537" spans="1:12" hidden="1" x14ac:dyDescent="0.25">
      <c r="A537" s="228" t="s">
        <v>2</v>
      </c>
      <c r="B537" s="234" t="s">
        <v>65</v>
      </c>
      <c r="C537" s="230" t="s">
        <v>70</v>
      </c>
      <c r="D537" s="230" t="s">
        <v>166</v>
      </c>
      <c r="E537" s="229" t="s">
        <v>17</v>
      </c>
      <c r="F537" s="231">
        <v>1244.45</v>
      </c>
      <c r="G537" s="229" t="s">
        <v>1</v>
      </c>
      <c r="H537" s="405">
        <f ca="1">INDEX(PRODUTIVIDADES!$M:$M,MATCH(tbAREAS[[#This Row],[TIPO DE ÁREA]],PRODUTIVIDADES!$B:$B,0)+MATCH(tbAREAS[[#This Row],[LOCALIDADE]],PRODUTIVIDADES!$A:$A,0)-3)*tbAREAS[[#This Row],[ÁREA EM M²]]</f>
        <v>2912.0129999999999</v>
      </c>
      <c r="L537" s="391"/>
    </row>
    <row r="538" spans="1:12" hidden="1" x14ac:dyDescent="0.25">
      <c r="A538" s="228" t="s">
        <v>2</v>
      </c>
      <c r="B538" s="234" t="s">
        <v>65</v>
      </c>
      <c r="C538" s="230" t="s">
        <v>70</v>
      </c>
      <c r="D538" s="230" t="s">
        <v>166</v>
      </c>
      <c r="E538" s="229" t="s">
        <v>18</v>
      </c>
      <c r="F538" s="231">
        <v>179.38</v>
      </c>
      <c r="G538" s="229" t="s">
        <v>1</v>
      </c>
      <c r="H538" s="405">
        <f ca="1">INDEX(PRODUTIVIDADES!$M:$M,MATCH(tbAREAS[[#This Row],[TIPO DE ÁREA]],PRODUTIVIDADES!$B:$B,0)+MATCH(tbAREAS[[#This Row],[LOCALIDADE]],PRODUTIVIDADES!$A:$A,0)-3)*tbAREAS[[#This Row],[ÁREA EM M²]]</f>
        <v>8134.8829999999998</v>
      </c>
      <c r="L538" s="391"/>
    </row>
    <row r="539" spans="1:12" hidden="1" x14ac:dyDescent="0.25">
      <c r="A539" s="228" t="s">
        <v>2</v>
      </c>
      <c r="B539" s="234" t="s">
        <v>65</v>
      </c>
      <c r="C539" s="230" t="s">
        <v>70</v>
      </c>
      <c r="D539" s="230" t="s">
        <v>166</v>
      </c>
      <c r="E539" s="229" t="s">
        <v>21</v>
      </c>
      <c r="F539" s="231">
        <v>1181.8499999999999</v>
      </c>
      <c r="G539" s="229" t="s">
        <v>1</v>
      </c>
      <c r="H539" s="405">
        <f ca="1">INDEX(PRODUTIVIDADES!$M:$M,MATCH(tbAREAS[[#This Row],[TIPO DE ÁREA]],PRODUTIVIDADES!$B:$B,0)+MATCH(tbAREAS[[#This Row],[LOCALIDADE]],PRODUTIVIDADES!$A:$A,0)-3)*tbAREAS[[#This Row],[ÁREA EM M²]]</f>
        <v>200.9145</v>
      </c>
      <c r="L539" s="391"/>
    </row>
    <row r="540" spans="1:12" hidden="1" x14ac:dyDescent="0.25">
      <c r="A540" s="228" t="s">
        <v>2</v>
      </c>
      <c r="B540" s="234" t="s">
        <v>65</v>
      </c>
      <c r="C540" s="230" t="s">
        <v>70</v>
      </c>
      <c r="D540" s="230" t="s">
        <v>166</v>
      </c>
      <c r="E540" s="229" t="s">
        <v>22</v>
      </c>
      <c r="F540" s="231">
        <v>1181.8499999999999</v>
      </c>
      <c r="G540" s="229" t="s">
        <v>1</v>
      </c>
      <c r="H540" s="405">
        <f ca="1">INDEX(PRODUTIVIDADES!$M:$M,MATCH(tbAREAS[[#This Row],[TIPO DE ÁREA]],PRODUTIVIDADES!$B:$B,0)+MATCH(tbAREAS[[#This Row],[LOCALIDADE]],PRODUTIVIDADES!$A:$A,0)-3)*tbAREAS[[#This Row],[ÁREA EM M²]]</f>
        <v>472.74</v>
      </c>
      <c r="L540" s="391"/>
    </row>
    <row r="541" spans="1:12" hidden="1" x14ac:dyDescent="0.25">
      <c r="A541" s="228" t="s">
        <v>2</v>
      </c>
      <c r="B541" s="234" t="s">
        <v>65</v>
      </c>
      <c r="C541" s="230" t="s">
        <v>264</v>
      </c>
      <c r="D541" s="230" t="s">
        <v>265</v>
      </c>
      <c r="E541" s="229" t="s">
        <v>9</v>
      </c>
      <c r="F541" s="231">
        <v>622.35</v>
      </c>
      <c r="G541" s="229" t="s">
        <v>1</v>
      </c>
      <c r="H541" s="405">
        <f ca="1">INDEX(PRODUTIVIDADES!$M:$M,MATCH(tbAREAS[[#This Row],[TIPO DE ÁREA]],PRODUTIVIDADES!$B:$B,0)+MATCH(tbAREAS[[#This Row],[LOCALIDADE]],PRODUTIVIDADES!$A:$A,0)-3)*tbAREAS[[#This Row],[ÁREA EM M²]]</f>
        <v>4854.33</v>
      </c>
      <c r="L541" s="391"/>
    </row>
    <row r="542" spans="1:12" hidden="1" x14ac:dyDescent="0.25">
      <c r="A542" s="228" t="s">
        <v>2</v>
      </c>
      <c r="B542" s="234" t="s">
        <v>65</v>
      </c>
      <c r="C542" s="230" t="s">
        <v>264</v>
      </c>
      <c r="D542" s="230" t="s">
        <v>265</v>
      </c>
      <c r="E542" s="229" t="s">
        <v>10</v>
      </c>
      <c r="F542" s="231">
        <v>921.16</v>
      </c>
      <c r="G542" s="229" t="s">
        <v>1</v>
      </c>
      <c r="H542" s="405">
        <f ca="1">INDEX(PRODUTIVIDADES!$M:$M,MATCH(tbAREAS[[#This Row],[TIPO DE ÁREA]],PRODUTIVIDADES!$B:$B,0)+MATCH(tbAREAS[[#This Row],[LOCALIDADE]],PRODUTIVIDADES!$A:$A,0)-3)*tbAREAS[[#This Row],[ÁREA EM M²]]</f>
        <v>2874.0192000000002</v>
      </c>
      <c r="L542" s="391"/>
    </row>
    <row r="543" spans="1:12" hidden="1" x14ac:dyDescent="0.25">
      <c r="A543" s="228" t="s">
        <v>2</v>
      </c>
      <c r="B543" s="234" t="s">
        <v>65</v>
      </c>
      <c r="C543" s="230" t="s">
        <v>264</v>
      </c>
      <c r="D543" s="230" t="s">
        <v>265</v>
      </c>
      <c r="E543" s="229" t="s">
        <v>11</v>
      </c>
      <c r="F543" s="231">
        <v>305.52</v>
      </c>
      <c r="G543" s="229" t="s">
        <v>1</v>
      </c>
      <c r="H543" s="405">
        <f ca="1">INDEX(PRODUTIVIDADES!$M:$M,MATCH(tbAREAS[[#This Row],[TIPO DE ÁREA]],PRODUTIVIDADES!$B:$B,0)+MATCH(tbAREAS[[#This Row],[LOCALIDADE]],PRODUTIVIDADES!$A:$A,0)-3)*tbAREAS[[#This Row],[ÁREA EM M²]]</f>
        <v>953.22239999999999</v>
      </c>
      <c r="L543" s="391"/>
    </row>
    <row r="544" spans="1:12" hidden="1" x14ac:dyDescent="0.25">
      <c r="A544" s="228" t="s">
        <v>2</v>
      </c>
      <c r="B544" s="234" t="s">
        <v>65</v>
      </c>
      <c r="C544" s="230" t="s">
        <v>264</v>
      </c>
      <c r="D544" s="230" t="s">
        <v>265</v>
      </c>
      <c r="E544" s="229" t="s">
        <v>14</v>
      </c>
      <c r="F544" s="231">
        <v>1709.69</v>
      </c>
      <c r="G544" s="229" t="s">
        <v>1</v>
      </c>
      <c r="H544" s="405">
        <f ca="1">INDEX(PRODUTIVIDADES!$M:$M,MATCH(tbAREAS[[#This Row],[TIPO DE ÁREA]],PRODUTIVIDADES!$B:$B,0)+MATCH(tbAREAS[[#This Row],[LOCALIDADE]],PRODUTIVIDADES!$A:$A,0)-3)*tbAREAS[[#This Row],[ÁREA EM M²]]</f>
        <v>14532.365</v>
      </c>
      <c r="L544" s="391"/>
    </row>
    <row r="545" spans="1:12" hidden="1" x14ac:dyDescent="0.25">
      <c r="A545" s="228" t="s">
        <v>2</v>
      </c>
      <c r="B545" s="234" t="s">
        <v>65</v>
      </c>
      <c r="C545" s="230" t="s">
        <v>264</v>
      </c>
      <c r="D545" s="230" t="s">
        <v>265</v>
      </c>
      <c r="E545" s="229" t="s">
        <v>15</v>
      </c>
      <c r="F545" s="231">
        <v>162.62</v>
      </c>
      <c r="G545" s="229" t="s">
        <v>1</v>
      </c>
      <c r="H545" s="405">
        <f ca="1">INDEX(PRODUTIVIDADES!$M:$M,MATCH(tbAREAS[[#This Row],[TIPO DE ÁREA]],PRODUTIVIDADES!$B:$B,0)+MATCH(tbAREAS[[#This Row],[LOCALIDADE]],PRODUTIVIDADES!$A:$A,0)-3)*tbAREAS[[#This Row],[ÁREA EM M²]]</f>
        <v>112.20779999999999</v>
      </c>
      <c r="L545" s="391"/>
    </row>
    <row r="546" spans="1:12" hidden="1" x14ac:dyDescent="0.25">
      <c r="A546" s="228" t="s">
        <v>2</v>
      </c>
      <c r="B546" s="234" t="s">
        <v>65</v>
      </c>
      <c r="C546" s="230" t="s">
        <v>264</v>
      </c>
      <c r="D546" s="230" t="s">
        <v>265</v>
      </c>
      <c r="E546" s="229" t="s">
        <v>17</v>
      </c>
      <c r="F546" s="231">
        <v>1160.52</v>
      </c>
      <c r="G546" s="229" t="s">
        <v>1</v>
      </c>
      <c r="H546" s="405">
        <f ca="1">INDEX(PRODUTIVIDADES!$M:$M,MATCH(tbAREAS[[#This Row],[TIPO DE ÁREA]],PRODUTIVIDADES!$B:$B,0)+MATCH(tbAREAS[[#This Row],[LOCALIDADE]],PRODUTIVIDADES!$A:$A,0)-3)*tbAREAS[[#This Row],[ÁREA EM M²]]</f>
        <v>2715.6167999999998</v>
      </c>
      <c r="L546" s="391"/>
    </row>
    <row r="547" spans="1:12" hidden="1" x14ac:dyDescent="0.25">
      <c r="A547" s="228" t="s">
        <v>2</v>
      </c>
      <c r="B547" s="234" t="s">
        <v>65</v>
      </c>
      <c r="C547" s="230" t="s">
        <v>264</v>
      </c>
      <c r="D547" s="230" t="s">
        <v>265</v>
      </c>
      <c r="E547" s="229" t="s">
        <v>18</v>
      </c>
      <c r="F547" s="231">
        <v>159.74</v>
      </c>
      <c r="G547" s="229" t="s">
        <v>1</v>
      </c>
      <c r="H547" s="405">
        <f ca="1">INDEX(PRODUTIVIDADES!$M:$M,MATCH(tbAREAS[[#This Row],[TIPO DE ÁREA]],PRODUTIVIDADES!$B:$B,0)+MATCH(tbAREAS[[#This Row],[LOCALIDADE]],PRODUTIVIDADES!$A:$A,0)-3)*tbAREAS[[#This Row],[ÁREA EM M²]]</f>
        <v>7244.2090000000007</v>
      </c>
      <c r="L547" s="391"/>
    </row>
    <row r="548" spans="1:12" hidden="1" x14ac:dyDescent="0.25">
      <c r="A548" s="228" t="s">
        <v>2</v>
      </c>
      <c r="B548" s="234" t="s">
        <v>65</v>
      </c>
      <c r="C548" s="230" t="s">
        <v>264</v>
      </c>
      <c r="D548" s="230" t="s">
        <v>265</v>
      </c>
      <c r="E548" s="229" t="s">
        <v>21</v>
      </c>
      <c r="F548" s="231">
        <v>1086.9000000000001</v>
      </c>
      <c r="G548" s="229" t="s">
        <v>1</v>
      </c>
      <c r="H548" s="405">
        <f ca="1">INDEX(PRODUTIVIDADES!$M:$M,MATCH(tbAREAS[[#This Row],[TIPO DE ÁREA]],PRODUTIVIDADES!$B:$B,0)+MATCH(tbAREAS[[#This Row],[LOCALIDADE]],PRODUTIVIDADES!$A:$A,0)-3)*tbAREAS[[#This Row],[ÁREA EM M²]]</f>
        <v>184.77300000000002</v>
      </c>
      <c r="L548" s="391"/>
    </row>
    <row r="549" spans="1:12" hidden="1" x14ac:dyDescent="0.25">
      <c r="A549" s="228" t="s">
        <v>2</v>
      </c>
      <c r="B549" s="234" t="s">
        <v>65</v>
      </c>
      <c r="C549" s="230" t="s">
        <v>264</v>
      </c>
      <c r="D549" s="230" t="s">
        <v>265</v>
      </c>
      <c r="E549" s="229" t="s">
        <v>22</v>
      </c>
      <c r="F549" s="231">
        <v>1086.9000000000001</v>
      </c>
      <c r="G549" s="229" t="s">
        <v>1</v>
      </c>
      <c r="H549" s="405">
        <f ca="1">INDEX(PRODUTIVIDADES!$M:$M,MATCH(tbAREAS[[#This Row],[TIPO DE ÁREA]],PRODUTIVIDADES!$B:$B,0)+MATCH(tbAREAS[[#This Row],[LOCALIDADE]],PRODUTIVIDADES!$A:$A,0)-3)*tbAREAS[[#This Row],[ÁREA EM M²]]</f>
        <v>434.76000000000005</v>
      </c>
      <c r="L549" s="391"/>
    </row>
    <row r="550" spans="1:12" hidden="1" x14ac:dyDescent="0.25">
      <c r="A550" s="228" t="s">
        <v>2</v>
      </c>
      <c r="B550" s="234" t="s">
        <v>65</v>
      </c>
      <c r="C550" s="230" t="s">
        <v>167</v>
      </c>
      <c r="D550" s="230" t="s">
        <v>168</v>
      </c>
      <c r="E550" s="229" t="s">
        <v>9</v>
      </c>
      <c r="F550" s="231">
        <v>735.04</v>
      </c>
      <c r="G550" s="229" t="s">
        <v>1</v>
      </c>
      <c r="H550" s="405">
        <f ca="1">INDEX(PRODUTIVIDADES!$M:$M,MATCH(tbAREAS[[#This Row],[TIPO DE ÁREA]],PRODUTIVIDADES!$B:$B,0)+MATCH(tbAREAS[[#This Row],[LOCALIDADE]],PRODUTIVIDADES!$A:$A,0)-3)*tbAREAS[[#This Row],[ÁREA EM M²]]</f>
        <v>5733.3119999999999</v>
      </c>
      <c r="L550" s="391"/>
    </row>
    <row r="551" spans="1:12" hidden="1" x14ac:dyDescent="0.25">
      <c r="A551" s="228" t="s">
        <v>2</v>
      </c>
      <c r="B551" s="234" t="s">
        <v>65</v>
      </c>
      <c r="C551" s="230" t="s">
        <v>167</v>
      </c>
      <c r="D551" s="230" t="s">
        <v>168</v>
      </c>
      <c r="E551" s="229" t="s">
        <v>10</v>
      </c>
      <c r="F551" s="231">
        <v>676.45</v>
      </c>
      <c r="G551" s="229" t="s">
        <v>1</v>
      </c>
      <c r="H551" s="405">
        <f ca="1">INDEX(PRODUTIVIDADES!$M:$M,MATCH(tbAREAS[[#This Row],[TIPO DE ÁREA]],PRODUTIVIDADES!$B:$B,0)+MATCH(tbAREAS[[#This Row],[LOCALIDADE]],PRODUTIVIDADES!$A:$A,0)-3)*tbAREAS[[#This Row],[ÁREA EM M²]]</f>
        <v>2110.5240000000003</v>
      </c>
      <c r="L551" s="391"/>
    </row>
    <row r="552" spans="1:12" hidden="1" x14ac:dyDescent="0.25">
      <c r="A552" s="228" t="s">
        <v>2</v>
      </c>
      <c r="B552" s="234" t="s">
        <v>65</v>
      </c>
      <c r="C552" s="230" t="s">
        <v>167</v>
      </c>
      <c r="D552" s="230" t="s">
        <v>168</v>
      </c>
      <c r="E552" s="229" t="s">
        <v>11</v>
      </c>
      <c r="F552" s="231">
        <v>306</v>
      </c>
      <c r="G552" s="229" t="s">
        <v>1</v>
      </c>
      <c r="H552" s="405">
        <f ca="1">INDEX(PRODUTIVIDADES!$M:$M,MATCH(tbAREAS[[#This Row],[TIPO DE ÁREA]],PRODUTIVIDADES!$B:$B,0)+MATCH(tbAREAS[[#This Row],[LOCALIDADE]],PRODUTIVIDADES!$A:$A,0)-3)*tbAREAS[[#This Row],[ÁREA EM M²]]</f>
        <v>954.72</v>
      </c>
      <c r="L552" s="391"/>
    </row>
    <row r="553" spans="1:12" hidden="1" x14ac:dyDescent="0.25">
      <c r="A553" s="228" t="s">
        <v>2</v>
      </c>
      <c r="B553" s="234" t="s">
        <v>65</v>
      </c>
      <c r="C553" s="230" t="s">
        <v>167</v>
      </c>
      <c r="D553" s="230" t="s">
        <v>168</v>
      </c>
      <c r="E553" s="229" t="s">
        <v>14</v>
      </c>
      <c r="F553" s="231">
        <v>468.09</v>
      </c>
      <c r="G553" s="229" t="s">
        <v>1</v>
      </c>
      <c r="H553" s="405">
        <f ca="1">INDEX(PRODUTIVIDADES!$M:$M,MATCH(tbAREAS[[#This Row],[TIPO DE ÁREA]],PRODUTIVIDADES!$B:$B,0)+MATCH(tbAREAS[[#This Row],[LOCALIDADE]],PRODUTIVIDADES!$A:$A,0)-3)*tbAREAS[[#This Row],[ÁREA EM M²]]</f>
        <v>3978.7649999999999</v>
      </c>
      <c r="L553" s="391"/>
    </row>
    <row r="554" spans="1:12" hidden="1" x14ac:dyDescent="0.25">
      <c r="A554" s="228" t="s">
        <v>2</v>
      </c>
      <c r="B554" s="234" t="s">
        <v>65</v>
      </c>
      <c r="C554" s="230" t="s">
        <v>167</v>
      </c>
      <c r="D554" s="230" t="s">
        <v>168</v>
      </c>
      <c r="E554" s="229" t="s">
        <v>15</v>
      </c>
      <c r="F554" s="231">
        <v>122.2</v>
      </c>
      <c r="G554" s="229" t="s">
        <v>1</v>
      </c>
      <c r="H554" s="405">
        <f ca="1">INDEX(PRODUTIVIDADES!$M:$M,MATCH(tbAREAS[[#This Row],[TIPO DE ÁREA]],PRODUTIVIDADES!$B:$B,0)+MATCH(tbAREAS[[#This Row],[LOCALIDADE]],PRODUTIVIDADES!$A:$A,0)-3)*tbAREAS[[#This Row],[ÁREA EM M²]]</f>
        <v>84.317999999999998</v>
      </c>
      <c r="L554" s="391"/>
    </row>
    <row r="555" spans="1:12" hidden="1" x14ac:dyDescent="0.25">
      <c r="A555" s="228" t="s">
        <v>2</v>
      </c>
      <c r="B555" s="234" t="s">
        <v>65</v>
      </c>
      <c r="C555" s="230" t="s">
        <v>167</v>
      </c>
      <c r="D555" s="230" t="s">
        <v>168</v>
      </c>
      <c r="E555" s="229" t="s">
        <v>17</v>
      </c>
      <c r="F555" s="231">
        <v>1141.32</v>
      </c>
      <c r="G555" s="229" t="s">
        <v>1</v>
      </c>
      <c r="H555" s="405">
        <f ca="1">INDEX(PRODUTIVIDADES!$M:$M,MATCH(tbAREAS[[#This Row],[TIPO DE ÁREA]],PRODUTIVIDADES!$B:$B,0)+MATCH(tbAREAS[[#This Row],[LOCALIDADE]],PRODUTIVIDADES!$A:$A,0)-3)*tbAREAS[[#This Row],[ÁREA EM M²]]</f>
        <v>2670.6887999999999</v>
      </c>
      <c r="L555" s="391"/>
    </row>
    <row r="556" spans="1:12" hidden="1" x14ac:dyDescent="0.25">
      <c r="A556" s="228" t="s">
        <v>2</v>
      </c>
      <c r="B556" s="234" t="s">
        <v>65</v>
      </c>
      <c r="C556" s="230" t="s">
        <v>167</v>
      </c>
      <c r="D556" s="230" t="s">
        <v>168</v>
      </c>
      <c r="E556" s="229" t="s">
        <v>18</v>
      </c>
      <c r="F556" s="231">
        <v>189.58</v>
      </c>
      <c r="G556" s="229" t="s">
        <v>1</v>
      </c>
      <c r="H556" s="405">
        <f ca="1">INDEX(PRODUTIVIDADES!$M:$M,MATCH(tbAREAS[[#This Row],[TIPO DE ÁREA]],PRODUTIVIDADES!$B:$B,0)+MATCH(tbAREAS[[#This Row],[LOCALIDADE]],PRODUTIVIDADES!$A:$A,0)-3)*tbAREAS[[#This Row],[ÁREA EM M²]]</f>
        <v>8597.4530000000013</v>
      </c>
      <c r="L556" s="391"/>
    </row>
    <row r="557" spans="1:12" hidden="1" x14ac:dyDescent="0.25">
      <c r="A557" s="228" t="s">
        <v>2</v>
      </c>
      <c r="B557" s="234" t="s">
        <v>65</v>
      </c>
      <c r="C557" s="230" t="s">
        <v>167</v>
      </c>
      <c r="D557" s="230" t="s">
        <v>168</v>
      </c>
      <c r="E557" s="229" t="s">
        <v>21</v>
      </c>
      <c r="F557" s="231">
        <v>1181.8499999999999</v>
      </c>
      <c r="G557" s="229" t="s">
        <v>1</v>
      </c>
      <c r="H557" s="405">
        <f ca="1">INDEX(PRODUTIVIDADES!$M:$M,MATCH(tbAREAS[[#This Row],[TIPO DE ÁREA]],PRODUTIVIDADES!$B:$B,0)+MATCH(tbAREAS[[#This Row],[LOCALIDADE]],PRODUTIVIDADES!$A:$A,0)-3)*tbAREAS[[#This Row],[ÁREA EM M²]]</f>
        <v>200.9145</v>
      </c>
      <c r="L557" s="391"/>
    </row>
    <row r="558" spans="1:12" hidden="1" x14ac:dyDescent="0.25">
      <c r="A558" s="228" t="s">
        <v>2</v>
      </c>
      <c r="B558" s="234" t="s">
        <v>65</v>
      </c>
      <c r="C558" s="230" t="s">
        <v>167</v>
      </c>
      <c r="D558" s="230" t="s">
        <v>168</v>
      </c>
      <c r="E558" s="229" t="s">
        <v>22</v>
      </c>
      <c r="F558" s="231">
        <v>1181.8499999999999</v>
      </c>
      <c r="G558" s="229" t="s">
        <v>1</v>
      </c>
      <c r="H558" s="405">
        <f ca="1">INDEX(PRODUTIVIDADES!$M:$M,MATCH(tbAREAS[[#This Row],[TIPO DE ÁREA]],PRODUTIVIDADES!$B:$B,0)+MATCH(tbAREAS[[#This Row],[LOCALIDADE]],PRODUTIVIDADES!$A:$A,0)-3)*tbAREAS[[#This Row],[ÁREA EM M²]]</f>
        <v>472.74</v>
      </c>
      <c r="L558" s="391"/>
    </row>
    <row r="559" spans="1:12" hidden="1" x14ac:dyDescent="0.25">
      <c r="A559" s="228" t="s">
        <v>2</v>
      </c>
      <c r="B559" s="234" t="s">
        <v>65</v>
      </c>
      <c r="C559" s="230" t="s">
        <v>66</v>
      </c>
      <c r="D559" s="230" t="s">
        <v>266</v>
      </c>
      <c r="E559" s="229" t="s">
        <v>9</v>
      </c>
      <c r="F559" s="231">
        <v>743.4</v>
      </c>
      <c r="G559" s="229" t="s">
        <v>1</v>
      </c>
      <c r="H559" s="405">
        <f ca="1">INDEX(PRODUTIVIDADES!$M:$M,MATCH(tbAREAS[[#This Row],[TIPO DE ÁREA]],PRODUTIVIDADES!$B:$B,0)+MATCH(tbAREAS[[#This Row],[LOCALIDADE]],PRODUTIVIDADES!$A:$A,0)-3)*tbAREAS[[#This Row],[ÁREA EM M²]]</f>
        <v>5798.5199999999995</v>
      </c>
      <c r="L559" s="391"/>
    </row>
    <row r="560" spans="1:12" hidden="1" x14ac:dyDescent="0.25">
      <c r="A560" s="228" t="s">
        <v>2</v>
      </c>
      <c r="B560" s="234" t="s">
        <v>65</v>
      </c>
      <c r="C560" s="230" t="s">
        <v>66</v>
      </c>
      <c r="D560" s="230" t="s">
        <v>266</v>
      </c>
      <c r="E560" s="229" t="s">
        <v>10</v>
      </c>
      <c r="F560" s="231">
        <v>1713.88</v>
      </c>
      <c r="G560" s="229" t="s">
        <v>1</v>
      </c>
      <c r="H560" s="405">
        <f ca="1">INDEX(PRODUTIVIDADES!$M:$M,MATCH(tbAREAS[[#This Row],[TIPO DE ÁREA]],PRODUTIVIDADES!$B:$B,0)+MATCH(tbAREAS[[#This Row],[LOCALIDADE]],PRODUTIVIDADES!$A:$A,0)-3)*tbAREAS[[#This Row],[ÁREA EM M²]]</f>
        <v>5347.3056000000006</v>
      </c>
      <c r="L560" s="391"/>
    </row>
    <row r="561" spans="1:12" hidden="1" x14ac:dyDescent="0.25">
      <c r="A561" s="228" t="s">
        <v>2</v>
      </c>
      <c r="B561" s="234" t="s">
        <v>65</v>
      </c>
      <c r="C561" s="230" t="s">
        <v>66</v>
      </c>
      <c r="D561" s="230" t="s">
        <v>266</v>
      </c>
      <c r="E561" s="229" t="s">
        <v>14</v>
      </c>
      <c r="F561" s="231">
        <v>1492.75</v>
      </c>
      <c r="G561" s="229" t="s">
        <v>1</v>
      </c>
      <c r="H561" s="405">
        <f ca="1">INDEX(PRODUTIVIDADES!$M:$M,MATCH(tbAREAS[[#This Row],[TIPO DE ÁREA]],PRODUTIVIDADES!$B:$B,0)+MATCH(tbAREAS[[#This Row],[LOCALIDADE]],PRODUTIVIDADES!$A:$A,0)-3)*tbAREAS[[#This Row],[ÁREA EM M²]]</f>
        <v>12688.375</v>
      </c>
      <c r="L561" s="391"/>
    </row>
    <row r="562" spans="1:12" hidden="1" x14ac:dyDescent="0.25">
      <c r="A562" s="228" t="s">
        <v>2</v>
      </c>
      <c r="B562" s="234" t="s">
        <v>65</v>
      </c>
      <c r="C562" s="230" t="s">
        <v>66</v>
      </c>
      <c r="D562" s="230" t="s">
        <v>266</v>
      </c>
      <c r="E562" s="229" t="s">
        <v>17</v>
      </c>
      <c r="F562" s="231">
        <v>1123.6600000000001</v>
      </c>
      <c r="G562" s="229" t="s">
        <v>1</v>
      </c>
      <c r="H562" s="405">
        <f ca="1">INDEX(PRODUTIVIDADES!$M:$M,MATCH(tbAREAS[[#This Row],[TIPO DE ÁREA]],PRODUTIVIDADES!$B:$B,0)+MATCH(tbAREAS[[#This Row],[LOCALIDADE]],PRODUTIVIDADES!$A:$A,0)-3)*tbAREAS[[#This Row],[ÁREA EM M²]]</f>
        <v>2629.3643999999999</v>
      </c>
      <c r="L562" s="391"/>
    </row>
    <row r="563" spans="1:12" hidden="1" x14ac:dyDescent="0.25">
      <c r="A563" s="228" t="s">
        <v>2</v>
      </c>
      <c r="B563" s="234" t="s">
        <v>65</v>
      </c>
      <c r="C563" s="230" t="s">
        <v>66</v>
      </c>
      <c r="D563" s="230" t="s">
        <v>266</v>
      </c>
      <c r="E563" s="229" t="s">
        <v>18</v>
      </c>
      <c r="F563" s="231">
        <v>179.92</v>
      </c>
      <c r="G563" s="229" t="s">
        <v>1</v>
      </c>
      <c r="H563" s="405">
        <f ca="1">INDEX(PRODUTIVIDADES!$M:$M,MATCH(tbAREAS[[#This Row],[TIPO DE ÁREA]],PRODUTIVIDADES!$B:$B,0)+MATCH(tbAREAS[[#This Row],[LOCALIDADE]],PRODUTIVIDADES!$A:$A,0)-3)*tbAREAS[[#This Row],[ÁREA EM M²]]</f>
        <v>8159.3719999999994</v>
      </c>
      <c r="L563" s="391"/>
    </row>
    <row r="564" spans="1:12" hidden="1" x14ac:dyDescent="0.25">
      <c r="A564" s="228" t="s">
        <v>2</v>
      </c>
      <c r="B564" s="234" t="s">
        <v>65</v>
      </c>
      <c r="C564" s="230" t="s">
        <v>66</v>
      </c>
      <c r="D564" s="230" t="s">
        <v>266</v>
      </c>
      <c r="E564" s="229" t="s">
        <v>21</v>
      </c>
      <c r="F564" s="231">
        <v>1047.1300000000001</v>
      </c>
      <c r="G564" s="229" t="s">
        <v>1</v>
      </c>
      <c r="H564" s="405">
        <f ca="1">INDEX(PRODUTIVIDADES!$M:$M,MATCH(tbAREAS[[#This Row],[TIPO DE ÁREA]],PRODUTIVIDADES!$B:$B,0)+MATCH(tbAREAS[[#This Row],[LOCALIDADE]],PRODUTIVIDADES!$A:$A,0)-3)*tbAREAS[[#This Row],[ÁREA EM M²]]</f>
        <v>178.01210000000003</v>
      </c>
      <c r="L564" s="391"/>
    </row>
    <row r="565" spans="1:12" hidden="1" x14ac:dyDescent="0.25">
      <c r="A565" s="228" t="s">
        <v>2</v>
      </c>
      <c r="B565" s="234" t="s">
        <v>65</v>
      </c>
      <c r="C565" s="230" t="s">
        <v>66</v>
      </c>
      <c r="D565" s="230" t="s">
        <v>266</v>
      </c>
      <c r="E565" s="229" t="s">
        <v>22</v>
      </c>
      <c r="F565" s="231">
        <v>1047.1300000000001</v>
      </c>
      <c r="G565" s="229" t="s">
        <v>1</v>
      </c>
      <c r="H565" s="405">
        <f ca="1">INDEX(PRODUTIVIDADES!$M:$M,MATCH(tbAREAS[[#This Row],[TIPO DE ÁREA]],PRODUTIVIDADES!$B:$B,0)+MATCH(tbAREAS[[#This Row],[LOCALIDADE]],PRODUTIVIDADES!$A:$A,0)-3)*tbAREAS[[#This Row],[ÁREA EM M²]]</f>
        <v>418.85200000000009</v>
      </c>
      <c r="L565" s="391"/>
    </row>
    <row r="566" spans="1:12" hidden="1" x14ac:dyDescent="0.25">
      <c r="A566" s="228" t="s">
        <v>2</v>
      </c>
      <c r="B566" s="234" t="s">
        <v>65</v>
      </c>
      <c r="C566" s="230" t="s">
        <v>267</v>
      </c>
      <c r="D566" s="230" t="s">
        <v>268</v>
      </c>
      <c r="E566" s="229" t="s">
        <v>9</v>
      </c>
      <c r="F566" s="231">
        <v>197.62</v>
      </c>
      <c r="G566" s="229" t="s">
        <v>1</v>
      </c>
      <c r="H566" s="405">
        <f ca="1">INDEX(PRODUTIVIDADES!$M:$M,MATCH(tbAREAS[[#This Row],[TIPO DE ÁREA]],PRODUTIVIDADES!$B:$B,0)+MATCH(tbAREAS[[#This Row],[LOCALIDADE]],PRODUTIVIDADES!$A:$A,0)-3)*tbAREAS[[#This Row],[ÁREA EM M²]]</f>
        <v>1541.4359999999999</v>
      </c>
      <c r="L566" s="391"/>
    </row>
    <row r="567" spans="1:12" hidden="1" x14ac:dyDescent="0.25">
      <c r="A567" s="228" t="s">
        <v>2</v>
      </c>
      <c r="B567" s="234" t="s">
        <v>65</v>
      </c>
      <c r="C567" s="230" t="s">
        <v>267</v>
      </c>
      <c r="D567" s="230" t="s">
        <v>268</v>
      </c>
      <c r="E567" s="229" t="s">
        <v>10</v>
      </c>
      <c r="F567" s="231">
        <v>196.84</v>
      </c>
      <c r="G567" s="229" t="s">
        <v>1</v>
      </c>
      <c r="H567" s="405">
        <f ca="1">INDEX(PRODUTIVIDADES!$M:$M,MATCH(tbAREAS[[#This Row],[TIPO DE ÁREA]],PRODUTIVIDADES!$B:$B,0)+MATCH(tbAREAS[[#This Row],[LOCALIDADE]],PRODUTIVIDADES!$A:$A,0)-3)*tbAREAS[[#This Row],[ÁREA EM M²]]</f>
        <v>614.14080000000001</v>
      </c>
      <c r="L567" s="391"/>
    </row>
    <row r="568" spans="1:12" hidden="1" x14ac:dyDescent="0.25">
      <c r="A568" s="228" t="s">
        <v>2</v>
      </c>
      <c r="B568" s="234" t="s">
        <v>65</v>
      </c>
      <c r="C568" s="230" t="s">
        <v>267</v>
      </c>
      <c r="D568" s="230" t="s">
        <v>268</v>
      </c>
      <c r="E568" s="229" t="s">
        <v>11</v>
      </c>
      <c r="F568" s="231">
        <v>122.45</v>
      </c>
      <c r="G568" s="229" t="s">
        <v>1</v>
      </c>
      <c r="H568" s="405">
        <f ca="1">INDEX(PRODUTIVIDADES!$M:$M,MATCH(tbAREAS[[#This Row],[TIPO DE ÁREA]],PRODUTIVIDADES!$B:$B,0)+MATCH(tbAREAS[[#This Row],[LOCALIDADE]],PRODUTIVIDADES!$A:$A,0)-3)*tbAREAS[[#This Row],[ÁREA EM M²]]</f>
        <v>382.04400000000004</v>
      </c>
      <c r="L568" s="391"/>
    </row>
    <row r="569" spans="1:12" hidden="1" x14ac:dyDescent="0.25">
      <c r="A569" s="228" t="s">
        <v>2</v>
      </c>
      <c r="B569" s="234" t="s">
        <v>65</v>
      </c>
      <c r="C569" s="230" t="s">
        <v>267</v>
      </c>
      <c r="D569" s="230" t="s">
        <v>268</v>
      </c>
      <c r="E569" s="229" t="s">
        <v>14</v>
      </c>
      <c r="F569" s="231">
        <v>121.06</v>
      </c>
      <c r="G569" s="229" t="s">
        <v>1</v>
      </c>
      <c r="H569" s="405">
        <f ca="1">INDEX(PRODUTIVIDADES!$M:$M,MATCH(tbAREAS[[#This Row],[TIPO DE ÁREA]],PRODUTIVIDADES!$B:$B,0)+MATCH(tbAREAS[[#This Row],[LOCALIDADE]],PRODUTIVIDADES!$A:$A,0)-3)*tbAREAS[[#This Row],[ÁREA EM M²]]</f>
        <v>1029.01</v>
      </c>
      <c r="L569" s="391"/>
    </row>
    <row r="570" spans="1:12" hidden="1" x14ac:dyDescent="0.25">
      <c r="A570" s="228" t="s">
        <v>2</v>
      </c>
      <c r="B570" s="234" t="s">
        <v>65</v>
      </c>
      <c r="C570" s="230" t="s">
        <v>267</v>
      </c>
      <c r="D570" s="230" t="s">
        <v>268</v>
      </c>
      <c r="E570" s="229" t="s">
        <v>17</v>
      </c>
      <c r="F570" s="231">
        <v>230.46</v>
      </c>
      <c r="G570" s="229" t="s">
        <v>1</v>
      </c>
      <c r="H570" s="405">
        <f ca="1">INDEX(PRODUTIVIDADES!$M:$M,MATCH(tbAREAS[[#This Row],[TIPO DE ÁREA]],PRODUTIVIDADES!$B:$B,0)+MATCH(tbAREAS[[#This Row],[LOCALIDADE]],PRODUTIVIDADES!$A:$A,0)-3)*tbAREAS[[#This Row],[ÁREA EM M²]]</f>
        <v>539.27639999999997</v>
      </c>
      <c r="L570" s="391"/>
    </row>
    <row r="571" spans="1:12" hidden="1" x14ac:dyDescent="0.25">
      <c r="A571" s="228" t="s">
        <v>2</v>
      </c>
      <c r="B571" s="234" t="s">
        <v>65</v>
      </c>
      <c r="C571" s="230" t="s">
        <v>267</v>
      </c>
      <c r="D571" s="230" t="s">
        <v>268</v>
      </c>
      <c r="E571" s="229" t="s">
        <v>18</v>
      </c>
      <c r="F571" s="231">
        <v>87.41</v>
      </c>
      <c r="G571" s="229" t="s">
        <v>1</v>
      </c>
      <c r="H571" s="405">
        <f ca="1">INDEX(PRODUTIVIDADES!$M:$M,MATCH(tbAREAS[[#This Row],[TIPO DE ÁREA]],PRODUTIVIDADES!$B:$B,0)+MATCH(tbAREAS[[#This Row],[LOCALIDADE]],PRODUTIVIDADES!$A:$A,0)-3)*tbAREAS[[#This Row],[ÁREA EM M²]]</f>
        <v>3964.0434999999998</v>
      </c>
      <c r="L571" s="391"/>
    </row>
    <row r="572" spans="1:12" hidden="1" x14ac:dyDescent="0.25">
      <c r="A572" s="228" t="s">
        <v>2</v>
      </c>
      <c r="B572" s="234" t="s">
        <v>65</v>
      </c>
      <c r="C572" s="230" t="s">
        <v>267</v>
      </c>
      <c r="D572" s="230" t="s">
        <v>268</v>
      </c>
      <c r="E572" s="229" t="s">
        <v>21</v>
      </c>
      <c r="F572" s="231">
        <v>378.51</v>
      </c>
      <c r="G572" s="229" t="s">
        <v>1</v>
      </c>
      <c r="H572" s="405">
        <f ca="1">INDEX(PRODUTIVIDADES!$M:$M,MATCH(tbAREAS[[#This Row],[TIPO DE ÁREA]],PRODUTIVIDADES!$B:$B,0)+MATCH(tbAREAS[[#This Row],[LOCALIDADE]],PRODUTIVIDADES!$A:$A,0)-3)*tbAREAS[[#This Row],[ÁREA EM M²]]</f>
        <v>64.346699999999998</v>
      </c>
      <c r="L572" s="391"/>
    </row>
    <row r="573" spans="1:12" hidden="1" x14ac:dyDescent="0.25">
      <c r="A573" s="228" t="s">
        <v>2</v>
      </c>
      <c r="B573" s="234" t="s">
        <v>65</v>
      </c>
      <c r="C573" s="230" t="s">
        <v>267</v>
      </c>
      <c r="D573" s="230" t="s">
        <v>268</v>
      </c>
      <c r="E573" s="229" t="s">
        <v>22</v>
      </c>
      <c r="F573" s="231">
        <v>378.51</v>
      </c>
      <c r="G573" s="229" t="s">
        <v>1</v>
      </c>
      <c r="H573" s="405">
        <f ca="1">INDEX(PRODUTIVIDADES!$M:$M,MATCH(tbAREAS[[#This Row],[TIPO DE ÁREA]],PRODUTIVIDADES!$B:$B,0)+MATCH(tbAREAS[[#This Row],[LOCALIDADE]],PRODUTIVIDADES!$A:$A,0)-3)*tbAREAS[[#This Row],[ÁREA EM M²]]</f>
        <v>151.404</v>
      </c>
      <c r="L573" s="391"/>
    </row>
    <row r="574" spans="1:12" hidden="1" x14ac:dyDescent="0.25">
      <c r="A574" s="228" t="s">
        <v>2</v>
      </c>
      <c r="B574" s="234" t="s">
        <v>65</v>
      </c>
      <c r="C574" s="230" t="s">
        <v>269</v>
      </c>
      <c r="D574" s="230" t="s">
        <v>270</v>
      </c>
      <c r="E574" s="229" t="s">
        <v>10</v>
      </c>
      <c r="F574" s="231">
        <v>61.56</v>
      </c>
      <c r="G574" s="229" t="s">
        <v>1</v>
      </c>
      <c r="H574" s="405">
        <f ca="1">INDEX(PRODUTIVIDADES!$M:$M,MATCH(tbAREAS[[#This Row],[TIPO DE ÁREA]],PRODUTIVIDADES!$B:$B,0)+MATCH(tbAREAS[[#This Row],[LOCALIDADE]],PRODUTIVIDADES!$A:$A,0)-3)*tbAREAS[[#This Row],[ÁREA EM M²]]</f>
        <v>192.06720000000001</v>
      </c>
      <c r="L574" s="391"/>
    </row>
    <row r="575" spans="1:12" hidden="1" x14ac:dyDescent="0.25">
      <c r="A575" s="228" t="s">
        <v>2</v>
      </c>
      <c r="B575" s="234" t="s">
        <v>65</v>
      </c>
      <c r="C575" s="230" t="s">
        <v>269</v>
      </c>
      <c r="D575" s="230" t="s">
        <v>270</v>
      </c>
      <c r="E575" s="229" t="s">
        <v>14</v>
      </c>
      <c r="F575" s="231">
        <v>260.83</v>
      </c>
      <c r="G575" s="229" t="s">
        <v>1</v>
      </c>
      <c r="H575" s="405">
        <f ca="1">INDEX(PRODUTIVIDADES!$M:$M,MATCH(tbAREAS[[#This Row],[TIPO DE ÁREA]],PRODUTIVIDADES!$B:$B,0)+MATCH(tbAREAS[[#This Row],[LOCALIDADE]],PRODUTIVIDADES!$A:$A,0)-3)*tbAREAS[[#This Row],[ÁREA EM M²]]</f>
        <v>2217.0549999999998</v>
      </c>
      <c r="L575" s="391"/>
    </row>
    <row r="576" spans="1:12" hidden="1" x14ac:dyDescent="0.25">
      <c r="A576" s="228" t="s">
        <v>2</v>
      </c>
      <c r="B576" s="234" t="s">
        <v>65</v>
      </c>
      <c r="C576" s="230" t="s">
        <v>269</v>
      </c>
      <c r="D576" s="230" t="s">
        <v>270</v>
      </c>
      <c r="E576" s="229" t="s">
        <v>17</v>
      </c>
      <c r="F576" s="231">
        <v>98.05</v>
      </c>
      <c r="G576" s="229" t="s">
        <v>1</v>
      </c>
      <c r="H576" s="405">
        <f ca="1">INDEX(PRODUTIVIDADES!$M:$M,MATCH(tbAREAS[[#This Row],[TIPO DE ÁREA]],PRODUTIVIDADES!$B:$B,0)+MATCH(tbAREAS[[#This Row],[LOCALIDADE]],PRODUTIVIDADES!$A:$A,0)-3)*tbAREAS[[#This Row],[ÁREA EM M²]]</f>
        <v>229.43699999999998</v>
      </c>
      <c r="L576" s="391"/>
    </row>
    <row r="577" spans="1:12" hidden="1" x14ac:dyDescent="0.25">
      <c r="A577" s="228" t="s">
        <v>2</v>
      </c>
      <c r="B577" s="234" t="s">
        <v>65</v>
      </c>
      <c r="C577" s="230" t="s">
        <v>269</v>
      </c>
      <c r="D577" s="230" t="s">
        <v>270</v>
      </c>
      <c r="E577" s="229" t="s">
        <v>18</v>
      </c>
      <c r="F577" s="231">
        <v>28.44</v>
      </c>
      <c r="G577" s="229" t="s">
        <v>1</v>
      </c>
      <c r="H577" s="405">
        <f ca="1">INDEX(PRODUTIVIDADES!$M:$M,MATCH(tbAREAS[[#This Row],[TIPO DE ÁREA]],PRODUTIVIDADES!$B:$B,0)+MATCH(tbAREAS[[#This Row],[LOCALIDADE]],PRODUTIVIDADES!$A:$A,0)-3)*tbAREAS[[#This Row],[ÁREA EM M²]]</f>
        <v>1289.7540000000001</v>
      </c>
      <c r="L577" s="391"/>
    </row>
    <row r="578" spans="1:12" hidden="1" x14ac:dyDescent="0.25">
      <c r="A578" s="228" t="s">
        <v>2</v>
      </c>
      <c r="B578" s="234" t="s">
        <v>65</v>
      </c>
      <c r="C578" s="230" t="s">
        <v>269</v>
      </c>
      <c r="D578" s="230" t="s">
        <v>270</v>
      </c>
      <c r="E578" s="229" t="s">
        <v>21</v>
      </c>
      <c r="F578" s="231">
        <v>117.43</v>
      </c>
      <c r="G578" s="229" t="s">
        <v>1</v>
      </c>
      <c r="H578" s="405">
        <f ca="1">INDEX(PRODUTIVIDADES!$M:$M,MATCH(tbAREAS[[#This Row],[TIPO DE ÁREA]],PRODUTIVIDADES!$B:$B,0)+MATCH(tbAREAS[[#This Row],[LOCALIDADE]],PRODUTIVIDADES!$A:$A,0)-3)*tbAREAS[[#This Row],[ÁREA EM M²]]</f>
        <v>19.963100000000004</v>
      </c>
      <c r="L578" s="391"/>
    </row>
    <row r="579" spans="1:12" hidden="1" x14ac:dyDescent="0.25">
      <c r="A579" s="228" t="s">
        <v>2</v>
      </c>
      <c r="B579" s="234" t="s">
        <v>65</v>
      </c>
      <c r="C579" s="230" t="s">
        <v>269</v>
      </c>
      <c r="D579" s="230" t="s">
        <v>270</v>
      </c>
      <c r="E579" s="229" t="s">
        <v>22</v>
      </c>
      <c r="F579" s="231">
        <v>117.43</v>
      </c>
      <c r="G579" s="229" t="s">
        <v>1</v>
      </c>
      <c r="H579" s="405">
        <f ca="1">INDEX(PRODUTIVIDADES!$M:$M,MATCH(tbAREAS[[#This Row],[TIPO DE ÁREA]],PRODUTIVIDADES!$B:$B,0)+MATCH(tbAREAS[[#This Row],[LOCALIDADE]],PRODUTIVIDADES!$A:$A,0)-3)*tbAREAS[[#This Row],[ÁREA EM M²]]</f>
        <v>46.972000000000008</v>
      </c>
      <c r="L579" s="391"/>
    </row>
    <row r="580" spans="1:12" hidden="1" x14ac:dyDescent="0.25">
      <c r="A580" s="228" t="s">
        <v>2</v>
      </c>
      <c r="B580" s="234" t="s">
        <v>65</v>
      </c>
      <c r="C580" s="230" t="s">
        <v>74</v>
      </c>
      <c r="D580" s="230" t="s">
        <v>271</v>
      </c>
      <c r="E580" s="229" t="s">
        <v>9</v>
      </c>
      <c r="F580" s="231">
        <v>1048.69</v>
      </c>
      <c r="G580" s="229" t="s">
        <v>1</v>
      </c>
      <c r="H580" s="405">
        <f ca="1">INDEX(PRODUTIVIDADES!$M:$M,MATCH(tbAREAS[[#This Row],[TIPO DE ÁREA]],PRODUTIVIDADES!$B:$B,0)+MATCH(tbAREAS[[#This Row],[LOCALIDADE]],PRODUTIVIDADES!$A:$A,0)-3)*tbAREAS[[#This Row],[ÁREA EM M²]]</f>
        <v>8179.7820000000002</v>
      </c>
      <c r="L580" s="391"/>
    </row>
    <row r="581" spans="1:12" hidden="1" x14ac:dyDescent="0.25">
      <c r="A581" s="228" t="s">
        <v>2</v>
      </c>
      <c r="B581" s="234" t="s">
        <v>65</v>
      </c>
      <c r="C581" s="230" t="s">
        <v>74</v>
      </c>
      <c r="D581" s="230" t="s">
        <v>271</v>
      </c>
      <c r="E581" s="229" t="s">
        <v>10</v>
      </c>
      <c r="F581" s="231">
        <v>126.76</v>
      </c>
      <c r="G581" s="229" t="s">
        <v>1</v>
      </c>
      <c r="H581" s="405">
        <f ca="1">INDEX(PRODUTIVIDADES!$M:$M,MATCH(tbAREAS[[#This Row],[TIPO DE ÁREA]],PRODUTIVIDADES!$B:$B,0)+MATCH(tbAREAS[[#This Row],[LOCALIDADE]],PRODUTIVIDADES!$A:$A,0)-3)*tbAREAS[[#This Row],[ÁREA EM M²]]</f>
        <v>395.49120000000005</v>
      </c>
      <c r="L581" s="391"/>
    </row>
    <row r="582" spans="1:12" hidden="1" x14ac:dyDescent="0.25">
      <c r="A582" s="228" t="s">
        <v>2</v>
      </c>
      <c r="B582" s="234" t="s">
        <v>65</v>
      </c>
      <c r="C582" s="230" t="s">
        <v>74</v>
      </c>
      <c r="D582" s="230" t="s">
        <v>271</v>
      </c>
      <c r="E582" s="229" t="s">
        <v>14</v>
      </c>
      <c r="F582" s="231">
        <v>295.08</v>
      </c>
      <c r="G582" s="229" t="s">
        <v>1</v>
      </c>
      <c r="H582" s="405">
        <f ca="1">INDEX(PRODUTIVIDADES!$M:$M,MATCH(tbAREAS[[#This Row],[TIPO DE ÁREA]],PRODUTIVIDADES!$B:$B,0)+MATCH(tbAREAS[[#This Row],[LOCALIDADE]],PRODUTIVIDADES!$A:$A,0)-3)*tbAREAS[[#This Row],[ÁREA EM M²]]</f>
        <v>2508.1799999999998</v>
      </c>
      <c r="L582" s="391"/>
    </row>
    <row r="583" spans="1:12" hidden="1" x14ac:dyDescent="0.25">
      <c r="A583" s="228" t="s">
        <v>2</v>
      </c>
      <c r="B583" s="234" t="s">
        <v>65</v>
      </c>
      <c r="C583" s="230" t="s">
        <v>74</v>
      </c>
      <c r="D583" s="230" t="s">
        <v>271</v>
      </c>
      <c r="E583" s="229" t="s">
        <v>17</v>
      </c>
      <c r="F583" s="231">
        <v>547.07000000000005</v>
      </c>
      <c r="G583" s="229" t="s">
        <v>1</v>
      </c>
      <c r="H583" s="405">
        <f ca="1">INDEX(PRODUTIVIDADES!$M:$M,MATCH(tbAREAS[[#This Row],[TIPO DE ÁREA]],PRODUTIVIDADES!$B:$B,0)+MATCH(tbAREAS[[#This Row],[LOCALIDADE]],PRODUTIVIDADES!$A:$A,0)-3)*tbAREAS[[#This Row],[ÁREA EM M²]]</f>
        <v>1280.1438000000001</v>
      </c>
      <c r="L583" s="391"/>
    </row>
    <row r="584" spans="1:12" hidden="1" x14ac:dyDescent="0.25">
      <c r="A584" s="228" t="s">
        <v>2</v>
      </c>
      <c r="B584" s="234" t="s">
        <v>65</v>
      </c>
      <c r="C584" s="230" t="s">
        <v>74</v>
      </c>
      <c r="D584" s="230" t="s">
        <v>271</v>
      </c>
      <c r="E584" s="229" t="s">
        <v>18</v>
      </c>
      <c r="F584" s="231">
        <v>85.61</v>
      </c>
      <c r="G584" s="229" t="s">
        <v>1</v>
      </c>
      <c r="H584" s="405">
        <f ca="1">INDEX(PRODUTIVIDADES!$M:$M,MATCH(tbAREAS[[#This Row],[TIPO DE ÁREA]],PRODUTIVIDADES!$B:$B,0)+MATCH(tbAREAS[[#This Row],[LOCALIDADE]],PRODUTIVIDADES!$A:$A,0)-3)*tbAREAS[[#This Row],[ÁREA EM M²]]</f>
        <v>3882.4135000000001</v>
      </c>
      <c r="L584" s="391"/>
    </row>
    <row r="585" spans="1:12" hidden="1" x14ac:dyDescent="0.25">
      <c r="A585" s="228" t="s">
        <v>2</v>
      </c>
      <c r="B585" s="234" t="s">
        <v>65</v>
      </c>
      <c r="C585" s="230" t="s">
        <v>74</v>
      </c>
      <c r="D585" s="230" t="s">
        <v>271</v>
      </c>
      <c r="E585" s="229" t="s">
        <v>21</v>
      </c>
      <c r="F585" s="231">
        <v>258.16000000000003</v>
      </c>
      <c r="G585" s="229" t="s">
        <v>1</v>
      </c>
      <c r="H585" s="405">
        <f ca="1">INDEX(PRODUTIVIDADES!$M:$M,MATCH(tbAREAS[[#This Row],[TIPO DE ÁREA]],PRODUTIVIDADES!$B:$B,0)+MATCH(tbAREAS[[#This Row],[LOCALIDADE]],PRODUTIVIDADES!$A:$A,0)-3)*tbAREAS[[#This Row],[ÁREA EM M²]]</f>
        <v>43.887200000000007</v>
      </c>
      <c r="L585" s="391"/>
    </row>
    <row r="586" spans="1:12" hidden="1" x14ac:dyDescent="0.25">
      <c r="A586" s="228" t="s">
        <v>2</v>
      </c>
      <c r="B586" s="234" t="s">
        <v>65</v>
      </c>
      <c r="C586" s="230" t="s">
        <v>74</v>
      </c>
      <c r="D586" s="230" t="s">
        <v>271</v>
      </c>
      <c r="E586" s="229" t="s">
        <v>22</v>
      </c>
      <c r="F586" s="231">
        <v>258.16000000000003</v>
      </c>
      <c r="G586" s="229" t="s">
        <v>1</v>
      </c>
      <c r="H586" s="405">
        <f ca="1">INDEX(PRODUTIVIDADES!$M:$M,MATCH(tbAREAS[[#This Row],[TIPO DE ÁREA]],PRODUTIVIDADES!$B:$B,0)+MATCH(tbAREAS[[#This Row],[LOCALIDADE]],PRODUTIVIDADES!$A:$A,0)-3)*tbAREAS[[#This Row],[ÁREA EM M²]]</f>
        <v>103.26400000000001</v>
      </c>
      <c r="L586" s="391"/>
    </row>
    <row r="587" spans="1:12" hidden="1" x14ac:dyDescent="0.25">
      <c r="A587" s="228" t="s">
        <v>2</v>
      </c>
      <c r="B587" s="234" t="s">
        <v>65</v>
      </c>
      <c r="C587" s="230" t="s">
        <v>68</v>
      </c>
      <c r="D587" s="230" t="s">
        <v>272</v>
      </c>
      <c r="E587" s="229" t="s">
        <v>9</v>
      </c>
      <c r="F587" s="231">
        <v>711.12</v>
      </c>
      <c r="G587" s="229" t="s">
        <v>1</v>
      </c>
      <c r="H587" s="405">
        <f ca="1">INDEX(PRODUTIVIDADES!$M:$M,MATCH(tbAREAS[[#This Row],[TIPO DE ÁREA]],PRODUTIVIDADES!$B:$B,0)+MATCH(tbAREAS[[#This Row],[LOCALIDADE]],PRODUTIVIDADES!$A:$A,0)-3)*tbAREAS[[#This Row],[ÁREA EM M²]]</f>
        <v>5546.7359999999999</v>
      </c>
      <c r="L587" s="391"/>
    </row>
    <row r="588" spans="1:12" hidden="1" x14ac:dyDescent="0.25">
      <c r="A588" s="228" t="s">
        <v>2</v>
      </c>
      <c r="B588" s="234" t="s">
        <v>65</v>
      </c>
      <c r="C588" s="230" t="s">
        <v>68</v>
      </c>
      <c r="D588" s="230" t="s">
        <v>272</v>
      </c>
      <c r="E588" s="229" t="s">
        <v>10</v>
      </c>
      <c r="F588" s="231">
        <v>323.10000000000002</v>
      </c>
      <c r="G588" s="229" t="s">
        <v>1</v>
      </c>
      <c r="H588" s="405">
        <f ca="1">INDEX(PRODUTIVIDADES!$M:$M,MATCH(tbAREAS[[#This Row],[TIPO DE ÁREA]],PRODUTIVIDADES!$B:$B,0)+MATCH(tbAREAS[[#This Row],[LOCALIDADE]],PRODUTIVIDADES!$A:$A,0)-3)*tbAREAS[[#This Row],[ÁREA EM M²]]</f>
        <v>1008.0720000000001</v>
      </c>
      <c r="L588" s="391"/>
    </row>
    <row r="589" spans="1:12" hidden="1" x14ac:dyDescent="0.25">
      <c r="A589" s="228" t="s">
        <v>2</v>
      </c>
      <c r="B589" s="234" t="s">
        <v>65</v>
      </c>
      <c r="C589" s="230" t="s">
        <v>68</v>
      </c>
      <c r="D589" s="230" t="s">
        <v>272</v>
      </c>
      <c r="E589" s="229" t="s">
        <v>11</v>
      </c>
      <c r="F589" s="231">
        <v>114.75</v>
      </c>
      <c r="G589" s="229" t="s">
        <v>1</v>
      </c>
      <c r="H589" s="405">
        <f ca="1">INDEX(PRODUTIVIDADES!$M:$M,MATCH(tbAREAS[[#This Row],[TIPO DE ÁREA]],PRODUTIVIDADES!$B:$B,0)+MATCH(tbAREAS[[#This Row],[LOCALIDADE]],PRODUTIVIDADES!$A:$A,0)-3)*tbAREAS[[#This Row],[ÁREA EM M²]]</f>
        <v>358.02000000000004</v>
      </c>
      <c r="L589" s="391"/>
    </row>
    <row r="590" spans="1:12" hidden="1" x14ac:dyDescent="0.25">
      <c r="A590" s="228" t="s">
        <v>2</v>
      </c>
      <c r="B590" s="234" t="s">
        <v>65</v>
      </c>
      <c r="C590" s="230" t="s">
        <v>68</v>
      </c>
      <c r="D590" s="230" t="s">
        <v>272</v>
      </c>
      <c r="E590" s="229" t="s">
        <v>14</v>
      </c>
      <c r="F590" s="231">
        <v>546.04</v>
      </c>
      <c r="G590" s="229" t="s">
        <v>1</v>
      </c>
      <c r="H590" s="405">
        <f ca="1">INDEX(PRODUTIVIDADES!$M:$M,MATCH(tbAREAS[[#This Row],[TIPO DE ÁREA]],PRODUTIVIDADES!$B:$B,0)+MATCH(tbAREAS[[#This Row],[LOCALIDADE]],PRODUTIVIDADES!$A:$A,0)-3)*tbAREAS[[#This Row],[ÁREA EM M²]]</f>
        <v>4641.34</v>
      </c>
      <c r="L590" s="391"/>
    </row>
    <row r="591" spans="1:12" hidden="1" x14ac:dyDescent="0.25">
      <c r="A591" s="228" t="s">
        <v>2</v>
      </c>
      <c r="B591" s="234" t="s">
        <v>65</v>
      </c>
      <c r="C591" s="230" t="s">
        <v>68</v>
      </c>
      <c r="D591" s="230" t="s">
        <v>272</v>
      </c>
      <c r="E591" s="229" t="s">
        <v>17</v>
      </c>
      <c r="F591" s="231">
        <v>1072.8900000000001</v>
      </c>
      <c r="G591" s="229" t="s">
        <v>1</v>
      </c>
      <c r="H591" s="405">
        <f ca="1">INDEX(PRODUTIVIDADES!$M:$M,MATCH(tbAREAS[[#This Row],[TIPO DE ÁREA]],PRODUTIVIDADES!$B:$B,0)+MATCH(tbAREAS[[#This Row],[LOCALIDADE]],PRODUTIVIDADES!$A:$A,0)-3)*tbAREAS[[#This Row],[ÁREA EM M²]]</f>
        <v>2510.5626000000002</v>
      </c>
      <c r="L591" s="391"/>
    </row>
    <row r="592" spans="1:12" hidden="1" x14ac:dyDescent="0.25">
      <c r="A592" s="228" t="s">
        <v>2</v>
      </c>
      <c r="B592" s="234" t="s">
        <v>65</v>
      </c>
      <c r="C592" s="230" t="s">
        <v>68</v>
      </c>
      <c r="D592" s="230" t="s">
        <v>272</v>
      </c>
      <c r="E592" s="229" t="s">
        <v>18</v>
      </c>
      <c r="F592" s="231">
        <v>107.09</v>
      </c>
      <c r="G592" s="229" t="s">
        <v>1</v>
      </c>
      <c r="H592" s="405">
        <f ca="1">INDEX(PRODUTIVIDADES!$M:$M,MATCH(tbAREAS[[#This Row],[TIPO DE ÁREA]],PRODUTIVIDADES!$B:$B,0)+MATCH(tbAREAS[[#This Row],[LOCALIDADE]],PRODUTIVIDADES!$A:$A,0)-3)*tbAREAS[[#This Row],[ÁREA EM M²]]</f>
        <v>4856.5315000000001</v>
      </c>
      <c r="L592" s="391"/>
    </row>
    <row r="593" spans="1:12" hidden="1" x14ac:dyDescent="0.25">
      <c r="A593" s="228" t="s">
        <v>2</v>
      </c>
      <c r="B593" s="234" t="s">
        <v>65</v>
      </c>
      <c r="C593" s="230" t="s">
        <v>72</v>
      </c>
      <c r="D593" s="230" t="s">
        <v>273</v>
      </c>
      <c r="E593" s="229" t="s">
        <v>20</v>
      </c>
      <c r="F593" s="231">
        <v>71.040000000000006</v>
      </c>
      <c r="G593" s="229" t="s">
        <v>1</v>
      </c>
      <c r="H593" s="405">
        <f ca="1">INDEX(PRODUTIVIDADES!$M:$M,MATCH(tbAREAS[[#This Row],[TIPO DE ÁREA]],PRODUTIVIDADES!$B:$B,0)+MATCH(tbAREAS[[#This Row],[LOCALIDADE]],PRODUTIVIDADES!$A:$A,0)-3)*tbAREAS[[#This Row],[ÁREA EM M²]]</f>
        <v>55.411200000000008</v>
      </c>
      <c r="L593" s="391"/>
    </row>
    <row r="594" spans="1:12" hidden="1" x14ac:dyDescent="0.25">
      <c r="A594" s="228" t="s">
        <v>2</v>
      </c>
      <c r="B594" s="234" t="s">
        <v>65</v>
      </c>
      <c r="C594" s="230" t="s">
        <v>72</v>
      </c>
      <c r="D594" s="230" t="s">
        <v>273</v>
      </c>
      <c r="E594" s="229" t="s">
        <v>21</v>
      </c>
      <c r="F594" s="231">
        <v>826.46</v>
      </c>
      <c r="G594" s="229" t="s">
        <v>1</v>
      </c>
      <c r="H594" s="405">
        <f ca="1">INDEX(PRODUTIVIDADES!$M:$M,MATCH(tbAREAS[[#This Row],[TIPO DE ÁREA]],PRODUTIVIDADES!$B:$B,0)+MATCH(tbAREAS[[#This Row],[LOCALIDADE]],PRODUTIVIDADES!$A:$A,0)-3)*tbAREAS[[#This Row],[ÁREA EM M²]]</f>
        <v>140.49820000000003</v>
      </c>
      <c r="L594" s="391"/>
    </row>
    <row r="595" spans="1:12" hidden="1" x14ac:dyDescent="0.25">
      <c r="A595" s="228" t="s">
        <v>2</v>
      </c>
      <c r="B595" s="234" t="s">
        <v>65</v>
      </c>
      <c r="C595" s="230" t="s">
        <v>72</v>
      </c>
      <c r="D595" s="230" t="s">
        <v>273</v>
      </c>
      <c r="E595" s="229" t="s">
        <v>22</v>
      </c>
      <c r="F595" s="231">
        <v>826.46</v>
      </c>
      <c r="G595" s="229" t="s">
        <v>1</v>
      </c>
      <c r="H595" s="405">
        <f ca="1">INDEX(PRODUTIVIDADES!$M:$M,MATCH(tbAREAS[[#This Row],[TIPO DE ÁREA]],PRODUTIVIDADES!$B:$B,0)+MATCH(tbAREAS[[#This Row],[LOCALIDADE]],PRODUTIVIDADES!$A:$A,0)-3)*tbAREAS[[#This Row],[ÁREA EM M²]]</f>
        <v>330.58400000000006</v>
      </c>
      <c r="L595" s="391"/>
    </row>
    <row r="596" spans="1:12" hidden="1" x14ac:dyDescent="0.25">
      <c r="A596" s="228" t="s">
        <v>2</v>
      </c>
      <c r="B596" s="234" t="s">
        <v>65</v>
      </c>
      <c r="C596" s="230" t="s">
        <v>274</v>
      </c>
      <c r="D596" s="230" t="s">
        <v>275</v>
      </c>
      <c r="E596" s="229" t="s">
        <v>10</v>
      </c>
      <c r="F596" s="231">
        <v>147.66</v>
      </c>
      <c r="G596" s="229" t="s">
        <v>1</v>
      </c>
      <c r="H596" s="405">
        <f ca="1">INDEX(PRODUTIVIDADES!$M:$M,MATCH(tbAREAS[[#This Row],[TIPO DE ÁREA]],PRODUTIVIDADES!$B:$B,0)+MATCH(tbAREAS[[#This Row],[LOCALIDADE]],PRODUTIVIDADES!$A:$A,0)-3)*tbAREAS[[#This Row],[ÁREA EM M²]]</f>
        <v>460.69920000000002</v>
      </c>
      <c r="L596" s="391"/>
    </row>
    <row r="597" spans="1:12" hidden="1" x14ac:dyDescent="0.25">
      <c r="A597" s="228" t="s">
        <v>2</v>
      </c>
      <c r="B597" s="234" t="s">
        <v>65</v>
      </c>
      <c r="C597" s="230" t="s">
        <v>274</v>
      </c>
      <c r="D597" s="230" t="s">
        <v>275</v>
      </c>
      <c r="E597" s="229" t="s">
        <v>14</v>
      </c>
      <c r="F597" s="231">
        <v>320.41000000000003</v>
      </c>
      <c r="G597" s="229" t="s">
        <v>1</v>
      </c>
      <c r="H597" s="405">
        <f ca="1">INDEX(PRODUTIVIDADES!$M:$M,MATCH(tbAREAS[[#This Row],[TIPO DE ÁREA]],PRODUTIVIDADES!$B:$B,0)+MATCH(tbAREAS[[#This Row],[LOCALIDADE]],PRODUTIVIDADES!$A:$A,0)-3)*tbAREAS[[#This Row],[ÁREA EM M²]]</f>
        <v>2723.4850000000001</v>
      </c>
      <c r="L597" s="391"/>
    </row>
    <row r="598" spans="1:12" hidden="1" x14ac:dyDescent="0.25">
      <c r="A598" s="228" t="s">
        <v>2</v>
      </c>
      <c r="B598" s="234" t="s">
        <v>65</v>
      </c>
      <c r="C598" s="230" t="s">
        <v>274</v>
      </c>
      <c r="D598" s="230" t="s">
        <v>275</v>
      </c>
      <c r="E598" s="229" t="s">
        <v>15</v>
      </c>
      <c r="F598" s="231">
        <v>23.35</v>
      </c>
      <c r="G598" s="229" t="s">
        <v>1</v>
      </c>
      <c r="H598" s="405">
        <f ca="1">INDEX(PRODUTIVIDADES!$M:$M,MATCH(tbAREAS[[#This Row],[TIPO DE ÁREA]],PRODUTIVIDADES!$B:$B,0)+MATCH(tbAREAS[[#This Row],[LOCALIDADE]],PRODUTIVIDADES!$A:$A,0)-3)*tbAREAS[[#This Row],[ÁREA EM M²]]</f>
        <v>16.111499999999999</v>
      </c>
      <c r="L598" s="391"/>
    </row>
    <row r="599" spans="1:12" hidden="1" x14ac:dyDescent="0.25">
      <c r="A599" s="228" t="s">
        <v>2</v>
      </c>
      <c r="B599" s="234" t="s">
        <v>65</v>
      </c>
      <c r="C599" s="230" t="s">
        <v>274</v>
      </c>
      <c r="D599" s="230" t="s">
        <v>275</v>
      </c>
      <c r="E599" s="229" t="s">
        <v>17</v>
      </c>
      <c r="F599" s="231">
        <v>216.62</v>
      </c>
      <c r="G599" s="229" t="s">
        <v>1</v>
      </c>
      <c r="H599" s="405">
        <f ca="1">INDEX(PRODUTIVIDADES!$M:$M,MATCH(tbAREAS[[#This Row],[TIPO DE ÁREA]],PRODUTIVIDADES!$B:$B,0)+MATCH(tbAREAS[[#This Row],[LOCALIDADE]],PRODUTIVIDADES!$A:$A,0)-3)*tbAREAS[[#This Row],[ÁREA EM M²]]</f>
        <v>506.89079999999996</v>
      </c>
      <c r="L599" s="391"/>
    </row>
    <row r="600" spans="1:12" hidden="1" x14ac:dyDescent="0.25">
      <c r="A600" s="228" t="s">
        <v>2</v>
      </c>
      <c r="B600" s="234" t="s">
        <v>65</v>
      </c>
      <c r="C600" s="230" t="s">
        <v>274</v>
      </c>
      <c r="D600" s="230" t="s">
        <v>275</v>
      </c>
      <c r="E600" s="229" t="s">
        <v>18</v>
      </c>
      <c r="F600" s="231">
        <v>35.33</v>
      </c>
      <c r="G600" s="229" t="s">
        <v>1</v>
      </c>
      <c r="H600" s="405">
        <f ca="1">INDEX(PRODUTIVIDADES!$M:$M,MATCH(tbAREAS[[#This Row],[TIPO DE ÁREA]],PRODUTIVIDADES!$B:$B,0)+MATCH(tbAREAS[[#This Row],[LOCALIDADE]],PRODUTIVIDADES!$A:$A,0)-3)*tbAREAS[[#This Row],[ÁREA EM M²]]</f>
        <v>1602.2155</v>
      </c>
      <c r="L600" s="391"/>
    </row>
    <row r="601" spans="1:12" hidden="1" x14ac:dyDescent="0.25">
      <c r="A601" s="228" t="s">
        <v>2</v>
      </c>
      <c r="B601" s="234" t="s">
        <v>65</v>
      </c>
      <c r="C601" s="230" t="s">
        <v>274</v>
      </c>
      <c r="D601" s="230" t="s">
        <v>275</v>
      </c>
      <c r="E601" s="229" t="s">
        <v>20</v>
      </c>
      <c r="F601" s="231">
        <v>3.68</v>
      </c>
      <c r="G601" s="229" t="s">
        <v>1</v>
      </c>
      <c r="H601" s="405">
        <f ca="1">INDEX(PRODUTIVIDADES!$M:$M,MATCH(tbAREAS[[#This Row],[TIPO DE ÁREA]],PRODUTIVIDADES!$B:$B,0)+MATCH(tbAREAS[[#This Row],[LOCALIDADE]],PRODUTIVIDADES!$A:$A,0)-3)*tbAREAS[[#This Row],[ÁREA EM M²]]</f>
        <v>2.8704000000000001</v>
      </c>
      <c r="L601" s="391"/>
    </row>
    <row r="602" spans="1:12" hidden="1" x14ac:dyDescent="0.25">
      <c r="A602" s="228" t="s">
        <v>2</v>
      </c>
      <c r="B602" s="234" t="s">
        <v>65</v>
      </c>
      <c r="C602" s="230" t="s">
        <v>274</v>
      </c>
      <c r="D602" s="230" t="s">
        <v>275</v>
      </c>
      <c r="E602" s="229" t="s">
        <v>21</v>
      </c>
      <c r="F602" s="231">
        <v>132.94999999999999</v>
      </c>
      <c r="G602" s="229" t="s">
        <v>1</v>
      </c>
      <c r="H602" s="405">
        <f ca="1">INDEX(PRODUTIVIDADES!$M:$M,MATCH(tbAREAS[[#This Row],[TIPO DE ÁREA]],PRODUTIVIDADES!$B:$B,0)+MATCH(tbAREAS[[#This Row],[LOCALIDADE]],PRODUTIVIDADES!$A:$A,0)-3)*tbAREAS[[#This Row],[ÁREA EM M²]]</f>
        <v>22.601499999999998</v>
      </c>
      <c r="L602" s="391"/>
    </row>
    <row r="603" spans="1:12" hidden="1" x14ac:dyDescent="0.25">
      <c r="A603" s="228" t="s">
        <v>2</v>
      </c>
      <c r="B603" s="234" t="s">
        <v>65</v>
      </c>
      <c r="C603" s="230" t="s">
        <v>274</v>
      </c>
      <c r="D603" s="230" t="s">
        <v>275</v>
      </c>
      <c r="E603" s="229" t="s">
        <v>22</v>
      </c>
      <c r="F603" s="231">
        <v>132.94999999999999</v>
      </c>
      <c r="G603" s="229" t="s">
        <v>1</v>
      </c>
      <c r="H603" s="405">
        <f ca="1">INDEX(PRODUTIVIDADES!$M:$M,MATCH(tbAREAS[[#This Row],[TIPO DE ÁREA]],PRODUTIVIDADES!$B:$B,0)+MATCH(tbAREAS[[#This Row],[LOCALIDADE]],PRODUTIVIDADES!$A:$A,0)-3)*tbAREAS[[#This Row],[ÁREA EM M²]]</f>
        <v>53.18</v>
      </c>
      <c r="L603" s="391"/>
    </row>
    <row r="604" spans="1:12" hidden="1" x14ac:dyDescent="0.25">
      <c r="A604" s="228" t="s">
        <v>2</v>
      </c>
      <c r="B604" s="234" t="s">
        <v>65</v>
      </c>
      <c r="C604" s="230" t="s">
        <v>276</v>
      </c>
      <c r="D604" s="230" t="s">
        <v>277</v>
      </c>
      <c r="E604" s="229" t="s">
        <v>10</v>
      </c>
      <c r="F604" s="231">
        <v>82.03</v>
      </c>
      <c r="G604" s="229" t="s">
        <v>1</v>
      </c>
      <c r="H604" s="405">
        <f ca="1">INDEX(PRODUTIVIDADES!$M:$M,MATCH(tbAREAS[[#This Row],[TIPO DE ÁREA]],PRODUTIVIDADES!$B:$B,0)+MATCH(tbAREAS[[#This Row],[LOCALIDADE]],PRODUTIVIDADES!$A:$A,0)-3)*tbAREAS[[#This Row],[ÁREA EM M²]]</f>
        <v>255.93360000000001</v>
      </c>
      <c r="L604" s="391"/>
    </row>
    <row r="605" spans="1:12" hidden="1" x14ac:dyDescent="0.25">
      <c r="A605" s="228" t="s">
        <v>2</v>
      </c>
      <c r="B605" s="234" t="s">
        <v>65</v>
      </c>
      <c r="C605" s="230" t="s">
        <v>276</v>
      </c>
      <c r="D605" s="230" t="s">
        <v>277</v>
      </c>
      <c r="E605" s="229" t="s">
        <v>13</v>
      </c>
      <c r="F605" s="231">
        <v>74</v>
      </c>
      <c r="G605" s="229" t="s">
        <v>1</v>
      </c>
      <c r="H605" s="405">
        <f ca="1">INDEX(PRODUTIVIDADES!$M:$M,MATCH(tbAREAS[[#This Row],[TIPO DE ÁREA]],PRODUTIVIDADES!$B:$B,0)+MATCH(tbAREAS[[#This Row],[LOCALIDADE]],PRODUTIVIDADES!$A:$A,0)-3)*tbAREAS[[#This Row],[ÁREA EM M²]]</f>
        <v>230.88</v>
      </c>
      <c r="L605" s="391"/>
    </row>
    <row r="606" spans="1:12" hidden="1" x14ac:dyDescent="0.25">
      <c r="A606" s="228" t="s">
        <v>2</v>
      </c>
      <c r="B606" s="234" t="s">
        <v>65</v>
      </c>
      <c r="C606" s="230" t="s">
        <v>276</v>
      </c>
      <c r="D606" s="230" t="s">
        <v>277</v>
      </c>
      <c r="E606" s="229" t="s">
        <v>14</v>
      </c>
      <c r="F606" s="231">
        <v>431.21</v>
      </c>
      <c r="G606" s="229" t="s">
        <v>1</v>
      </c>
      <c r="H606" s="405">
        <f ca="1">INDEX(PRODUTIVIDADES!$M:$M,MATCH(tbAREAS[[#This Row],[TIPO DE ÁREA]],PRODUTIVIDADES!$B:$B,0)+MATCH(tbAREAS[[#This Row],[LOCALIDADE]],PRODUTIVIDADES!$A:$A,0)-3)*tbAREAS[[#This Row],[ÁREA EM M²]]</f>
        <v>3665.2849999999999</v>
      </c>
      <c r="L606" s="391"/>
    </row>
    <row r="607" spans="1:12" hidden="1" x14ac:dyDescent="0.25">
      <c r="A607" s="228" t="s">
        <v>2</v>
      </c>
      <c r="B607" s="234" t="s">
        <v>65</v>
      </c>
      <c r="C607" s="230" t="s">
        <v>276</v>
      </c>
      <c r="D607" s="230" t="s">
        <v>277</v>
      </c>
      <c r="E607" s="229" t="s">
        <v>15</v>
      </c>
      <c r="F607" s="231">
        <v>36.04</v>
      </c>
      <c r="G607" s="229" t="s">
        <v>1</v>
      </c>
      <c r="H607" s="405">
        <f ca="1">INDEX(PRODUTIVIDADES!$M:$M,MATCH(tbAREAS[[#This Row],[TIPO DE ÁREA]],PRODUTIVIDADES!$B:$B,0)+MATCH(tbAREAS[[#This Row],[LOCALIDADE]],PRODUTIVIDADES!$A:$A,0)-3)*tbAREAS[[#This Row],[ÁREA EM M²]]</f>
        <v>24.867599999999996</v>
      </c>
      <c r="L607" s="391"/>
    </row>
    <row r="608" spans="1:12" hidden="1" x14ac:dyDescent="0.25">
      <c r="A608" s="228" t="s">
        <v>2</v>
      </c>
      <c r="B608" s="234" t="s">
        <v>65</v>
      </c>
      <c r="C608" s="230" t="s">
        <v>276</v>
      </c>
      <c r="D608" s="230" t="s">
        <v>277</v>
      </c>
      <c r="E608" s="229" t="s">
        <v>17</v>
      </c>
      <c r="F608" s="231">
        <v>316.27</v>
      </c>
      <c r="G608" s="229" t="s">
        <v>1</v>
      </c>
      <c r="H608" s="405">
        <f ca="1">INDEX(PRODUTIVIDADES!$M:$M,MATCH(tbAREAS[[#This Row],[TIPO DE ÁREA]],PRODUTIVIDADES!$B:$B,0)+MATCH(tbAREAS[[#This Row],[LOCALIDADE]],PRODUTIVIDADES!$A:$A,0)-3)*tbAREAS[[#This Row],[ÁREA EM M²]]</f>
        <v>740.07179999999994</v>
      </c>
      <c r="L608" s="391"/>
    </row>
    <row r="609" spans="1:12" hidden="1" x14ac:dyDescent="0.25">
      <c r="A609" s="228" t="s">
        <v>2</v>
      </c>
      <c r="B609" s="234" t="s">
        <v>65</v>
      </c>
      <c r="C609" s="230" t="s">
        <v>276</v>
      </c>
      <c r="D609" s="230" t="s">
        <v>277</v>
      </c>
      <c r="E609" s="229" t="s">
        <v>18</v>
      </c>
      <c r="F609" s="231">
        <v>64.989999999999995</v>
      </c>
      <c r="G609" s="229" t="s">
        <v>1</v>
      </c>
      <c r="H609" s="405">
        <f ca="1">INDEX(PRODUTIVIDADES!$M:$M,MATCH(tbAREAS[[#This Row],[TIPO DE ÁREA]],PRODUTIVIDADES!$B:$B,0)+MATCH(tbAREAS[[#This Row],[LOCALIDADE]],PRODUTIVIDADES!$A:$A,0)-3)*tbAREAS[[#This Row],[ÁREA EM M²]]</f>
        <v>2947.2964999999999</v>
      </c>
      <c r="L609" s="391"/>
    </row>
    <row r="610" spans="1:12" hidden="1" x14ac:dyDescent="0.25">
      <c r="A610" s="228" t="s">
        <v>2</v>
      </c>
      <c r="B610" s="234" t="s">
        <v>65</v>
      </c>
      <c r="C610" s="230" t="s">
        <v>276</v>
      </c>
      <c r="D610" s="230" t="s">
        <v>277</v>
      </c>
      <c r="E610" s="229" t="s">
        <v>20</v>
      </c>
      <c r="F610" s="231">
        <v>2.89</v>
      </c>
      <c r="G610" s="229" t="s">
        <v>1</v>
      </c>
      <c r="H610" s="405">
        <f ca="1">INDEX(PRODUTIVIDADES!$M:$M,MATCH(tbAREAS[[#This Row],[TIPO DE ÁREA]],PRODUTIVIDADES!$B:$B,0)+MATCH(tbAREAS[[#This Row],[LOCALIDADE]],PRODUTIVIDADES!$A:$A,0)-3)*tbAREAS[[#This Row],[ÁREA EM M²]]</f>
        <v>2.2542</v>
      </c>
      <c r="L610" s="391"/>
    </row>
    <row r="611" spans="1:12" hidden="1" x14ac:dyDescent="0.25">
      <c r="A611" s="228" t="s">
        <v>2</v>
      </c>
      <c r="B611" s="234" t="s">
        <v>65</v>
      </c>
      <c r="C611" s="230" t="s">
        <v>276</v>
      </c>
      <c r="D611" s="230" t="s">
        <v>277</v>
      </c>
      <c r="E611" s="229" t="s">
        <v>21</v>
      </c>
      <c r="F611" s="231">
        <v>267.8</v>
      </c>
      <c r="G611" s="229" t="s">
        <v>1</v>
      </c>
      <c r="H611" s="405">
        <f ca="1">INDEX(PRODUTIVIDADES!$M:$M,MATCH(tbAREAS[[#This Row],[TIPO DE ÁREA]],PRODUTIVIDADES!$B:$B,0)+MATCH(tbAREAS[[#This Row],[LOCALIDADE]],PRODUTIVIDADES!$A:$A,0)-3)*tbAREAS[[#This Row],[ÁREA EM M²]]</f>
        <v>45.526000000000003</v>
      </c>
      <c r="L611" s="391"/>
    </row>
    <row r="612" spans="1:12" hidden="1" x14ac:dyDescent="0.25">
      <c r="A612" s="228" t="s">
        <v>2</v>
      </c>
      <c r="B612" s="234" t="s">
        <v>65</v>
      </c>
      <c r="C612" s="230" t="s">
        <v>276</v>
      </c>
      <c r="D612" s="230" t="s">
        <v>277</v>
      </c>
      <c r="E612" s="229" t="s">
        <v>22</v>
      </c>
      <c r="F612" s="231">
        <v>267.8</v>
      </c>
      <c r="G612" s="229" t="s">
        <v>1</v>
      </c>
      <c r="H612" s="405">
        <f ca="1">INDEX(PRODUTIVIDADES!$M:$M,MATCH(tbAREAS[[#This Row],[TIPO DE ÁREA]],PRODUTIVIDADES!$B:$B,0)+MATCH(tbAREAS[[#This Row],[LOCALIDADE]],PRODUTIVIDADES!$A:$A,0)-3)*tbAREAS[[#This Row],[ÁREA EM M²]]</f>
        <v>107.12</v>
      </c>
      <c r="L612" s="391"/>
    </row>
    <row r="613" spans="1:12" hidden="1" x14ac:dyDescent="0.25">
      <c r="A613" s="228" t="s">
        <v>2</v>
      </c>
      <c r="B613" s="234" t="s">
        <v>65</v>
      </c>
      <c r="C613" s="230" t="s">
        <v>278</v>
      </c>
      <c r="D613" s="230" t="s">
        <v>279</v>
      </c>
      <c r="E613" s="229" t="s">
        <v>9</v>
      </c>
      <c r="F613" s="231">
        <v>1015.2</v>
      </c>
      <c r="G613" s="229" t="s">
        <v>1</v>
      </c>
      <c r="H613" s="405">
        <f ca="1">INDEX(PRODUTIVIDADES!$M:$M,MATCH(tbAREAS[[#This Row],[TIPO DE ÁREA]],PRODUTIVIDADES!$B:$B,0)+MATCH(tbAREAS[[#This Row],[LOCALIDADE]],PRODUTIVIDADES!$A:$A,0)-3)*tbAREAS[[#This Row],[ÁREA EM M²]]</f>
        <v>7918.56</v>
      </c>
      <c r="L613" s="391"/>
    </row>
    <row r="614" spans="1:12" hidden="1" x14ac:dyDescent="0.25">
      <c r="A614" s="228" t="s">
        <v>2</v>
      </c>
      <c r="B614" s="234" t="s">
        <v>65</v>
      </c>
      <c r="C614" s="230" t="s">
        <v>278</v>
      </c>
      <c r="D614" s="230" t="s">
        <v>279</v>
      </c>
      <c r="E614" s="229" t="s">
        <v>10</v>
      </c>
      <c r="F614" s="231">
        <v>90.3</v>
      </c>
      <c r="G614" s="229" t="s">
        <v>1</v>
      </c>
      <c r="H614" s="405">
        <f ca="1">INDEX(PRODUTIVIDADES!$M:$M,MATCH(tbAREAS[[#This Row],[TIPO DE ÁREA]],PRODUTIVIDADES!$B:$B,0)+MATCH(tbAREAS[[#This Row],[LOCALIDADE]],PRODUTIVIDADES!$A:$A,0)-3)*tbAREAS[[#This Row],[ÁREA EM M²]]</f>
        <v>281.73599999999999</v>
      </c>
      <c r="L614" s="391"/>
    </row>
    <row r="615" spans="1:12" hidden="1" x14ac:dyDescent="0.25">
      <c r="A615" s="228" t="s">
        <v>2</v>
      </c>
      <c r="B615" s="234" t="s">
        <v>65</v>
      </c>
      <c r="C615" s="230" t="s">
        <v>278</v>
      </c>
      <c r="D615" s="230" t="s">
        <v>279</v>
      </c>
      <c r="E615" s="229" t="s">
        <v>17</v>
      </c>
      <c r="F615" s="231">
        <v>293.70999999999998</v>
      </c>
      <c r="G615" s="229" t="s">
        <v>1</v>
      </c>
      <c r="H615" s="405">
        <f ca="1">INDEX(PRODUTIVIDADES!$M:$M,MATCH(tbAREAS[[#This Row],[TIPO DE ÁREA]],PRODUTIVIDADES!$B:$B,0)+MATCH(tbAREAS[[#This Row],[LOCALIDADE]],PRODUTIVIDADES!$A:$A,0)-3)*tbAREAS[[#This Row],[ÁREA EM M²]]</f>
        <v>687.28139999999996</v>
      </c>
      <c r="L615" s="391"/>
    </row>
    <row r="616" spans="1:12" hidden="1" x14ac:dyDescent="0.25">
      <c r="A616" s="228" t="s">
        <v>2</v>
      </c>
      <c r="B616" s="234" t="s">
        <v>65</v>
      </c>
      <c r="C616" s="230" t="s">
        <v>278</v>
      </c>
      <c r="D616" s="230" t="s">
        <v>279</v>
      </c>
      <c r="E616" s="229" t="s">
        <v>18</v>
      </c>
      <c r="F616" s="231">
        <v>103.5</v>
      </c>
      <c r="G616" s="229" t="s">
        <v>1</v>
      </c>
      <c r="H616" s="405">
        <f ca="1">INDEX(PRODUTIVIDADES!$M:$M,MATCH(tbAREAS[[#This Row],[TIPO DE ÁREA]],PRODUTIVIDADES!$B:$B,0)+MATCH(tbAREAS[[#This Row],[LOCALIDADE]],PRODUTIVIDADES!$A:$A,0)-3)*tbAREAS[[#This Row],[ÁREA EM M²]]</f>
        <v>4693.7250000000004</v>
      </c>
      <c r="L616" s="391"/>
    </row>
    <row r="617" spans="1:12" hidden="1" x14ac:dyDescent="0.25">
      <c r="A617" s="228" t="s">
        <v>2</v>
      </c>
      <c r="B617" s="234" t="s">
        <v>65</v>
      </c>
      <c r="C617" s="230" t="s">
        <v>278</v>
      </c>
      <c r="D617" s="230" t="s">
        <v>279</v>
      </c>
      <c r="E617" s="229" t="s">
        <v>21</v>
      </c>
      <c r="F617" s="231">
        <v>342.67</v>
      </c>
      <c r="G617" s="229" t="s">
        <v>1</v>
      </c>
      <c r="H617" s="405">
        <f ca="1">INDEX(PRODUTIVIDADES!$M:$M,MATCH(tbAREAS[[#This Row],[TIPO DE ÁREA]],PRODUTIVIDADES!$B:$B,0)+MATCH(tbAREAS[[#This Row],[LOCALIDADE]],PRODUTIVIDADES!$A:$A,0)-3)*tbAREAS[[#This Row],[ÁREA EM M²]]</f>
        <v>58.253900000000009</v>
      </c>
      <c r="L617" s="391"/>
    </row>
    <row r="618" spans="1:12" hidden="1" x14ac:dyDescent="0.25">
      <c r="A618" s="228" t="s">
        <v>2</v>
      </c>
      <c r="B618" s="234" t="s">
        <v>65</v>
      </c>
      <c r="C618" s="230" t="s">
        <v>278</v>
      </c>
      <c r="D618" s="230" t="s">
        <v>279</v>
      </c>
      <c r="E618" s="229" t="s">
        <v>22</v>
      </c>
      <c r="F618" s="231">
        <v>342.67</v>
      </c>
      <c r="G618" s="229" t="s">
        <v>1</v>
      </c>
      <c r="H618" s="405">
        <f ca="1">INDEX(PRODUTIVIDADES!$M:$M,MATCH(tbAREAS[[#This Row],[TIPO DE ÁREA]],PRODUTIVIDADES!$B:$B,0)+MATCH(tbAREAS[[#This Row],[LOCALIDADE]],PRODUTIVIDADES!$A:$A,0)-3)*tbAREAS[[#This Row],[ÁREA EM M²]]</f>
        <v>137.06800000000001</v>
      </c>
      <c r="L618" s="391"/>
    </row>
    <row r="619" spans="1:12" hidden="1" x14ac:dyDescent="0.25">
      <c r="A619" s="228" t="s">
        <v>2</v>
      </c>
      <c r="B619" s="234" t="s">
        <v>280</v>
      </c>
      <c r="C619" s="230" t="s">
        <v>167</v>
      </c>
      <c r="D619" s="230" t="s">
        <v>168</v>
      </c>
      <c r="E619" s="229" t="s">
        <v>9</v>
      </c>
      <c r="F619" s="231">
        <v>58.46</v>
      </c>
      <c r="G619" s="229" t="s">
        <v>1</v>
      </c>
      <c r="H619" s="405">
        <f ca="1">INDEX(PRODUTIVIDADES!$M:$M,MATCH(tbAREAS[[#This Row],[TIPO DE ÁREA]],PRODUTIVIDADES!$B:$B,0)+MATCH(tbAREAS[[#This Row],[LOCALIDADE]],PRODUTIVIDADES!$A:$A,0)-3)*tbAREAS[[#This Row],[ÁREA EM M²]]</f>
        <v>455.988</v>
      </c>
      <c r="L619" s="391"/>
    </row>
    <row r="620" spans="1:12" hidden="1" x14ac:dyDescent="0.25">
      <c r="A620" s="228" t="s">
        <v>2</v>
      </c>
      <c r="B620" s="234" t="s">
        <v>280</v>
      </c>
      <c r="C620" s="230" t="s">
        <v>167</v>
      </c>
      <c r="D620" s="230" t="s">
        <v>168</v>
      </c>
      <c r="E620" s="229" t="s">
        <v>10</v>
      </c>
      <c r="F620" s="231">
        <v>881.81</v>
      </c>
      <c r="G620" s="229" t="s">
        <v>1</v>
      </c>
      <c r="H620" s="405">
        <f ca="1">INDEX(PRODUTIVIDADES!$M:$M,MATCH(tbAREAS[[#This Row],[TIPO DE ÁREA]],PRODUTIVIDADES!$B:$B,0)+MATCH(tbAREAS[[#This Row],[LOCALIDADE]],PRODUTIVIDADES!$A:$A,0)-3)*tbAREAS[[#This Row],[ÁREA EM M²]]</f>
        <v>2751.2471999999998</v>
      </c>
      <c r="L620" s="391"/>
    </row>
    <row r="621" spans="1:12" hidden="1" x14ac:dyDescent="0.25">
      <c r="A621" s="228" t="s">
        <v>2</v>
      </c>
      <c r="B621" s="234" t="s">
        <v>280</v>
      </c>
      <c r="C621" s="230" t="s">
        <v>167</v>
      </c>
      <c r="D621" s="230" t="s">
        <v>168</v>
      </c>
      <c r="E621" s="229" t="s">
        <v>13</v>
      </c>
      <c r="F621" s="231">
        <v>58.46</v>
      </c>
      <c r="G621" s="229" t="s">
        <v>1</v>
      </c>
      <c r="H621" s="405">
        <f ca="1">INDEX(PRODUTIVIDADES!$M:$M,MATCH(tbAREAS[[#This Row],[TIPO DE ÁREA]],PRODUTIVIDADES!$B:$B,0)+MATCH(tbAREAS[[#This Row],[LOCALIDADE]],PRODUTIVIDADES!$A:$A,0)-3)*tbAREAS[[#This Row],[ÁREA EM M²]]</f>
        <v>182.39520000000002</v>
      </c>
      <c r="L621" s="391"/>
    </row>
    <row r="622" spans="1:12" hidden="1" x14ac:dyDescent="0.25">
      <c r="A622" s="228" t="s">
        <v>2</v>
      </c>
      <c r="B622" s="234" t="s">
        <v>280</v>
      </c>
      <c r="C622" s="230" t="s">
        <v>167</v>
      </c>
      <c r="D622" s="230" t="s">
        <v>168</v>
      </c>
      <c r="E622" s="229" t="s">
        <v>21</v>
      </c>
      <c r="F622" s="231">
        <v>145.66999999999999</v>
      </c>
      <c r="G622" s="229" t="s">
        <v>1</v>
      </c>
      <c r="H622" s="405">
        <f ca="1">INDEX(PRODUTIVIDADES!$M:$M,MATCH(tbAREAS[[#This Row],[TIPO DE ÁREA]],PRODUTIVIDADES!$B:$B,0)+MATCH(tbAREAS[[#This Row],[LOCALIDADE]],PRODUTIVIDADES!$A:$A,0)-3)*tbAREAS[[#This Row],[ÁREA EM M²]]</f>
        <v>24.7639</v>
      </c>
      <c r="L622" s="391"/>
    </row>
    <row r="623" spans="1:12" hidden="1" x14ac:dyDescent="0.25">
      <c r="A623" s="228" t="s">
        <v>2</v>
      </c>
      <c r="B623" s="234" t="s">
        <v>280</v>
      </c>
      <c r="C623" s="230" t="s">
        <v>167</v>
      </c>
      <c r="D623" s="230" t="s">
        <v>168</v>
      </c>
      <c r="E623" s="229" t="s">
        <v>22</v>
      </c>
      <c r="F623" s="231">
        <v>145.66999999999999</v>
      </c>
      <c r="G623" s="229" t="s">
        <v>1</v>
      </c>
      <c r="H623" s="405">
        <f ca="1">INDEX(PRODUTIVIDADES!$M:$M,MATCH(tbAREAS[[#This Row],[TIPO DE ÁREA]],PRODUTIVIDADES!$B:$B,0)+MATCH(tbAREAS[[#This Row],[LOCALIDADE]],PRODUTIVIDADES!$A:$A,0)-3)*tbAREAS[[#This Row],[ÁREA EM M²]]</f>
        <v>58.268000000000001</v>
      </c>
      <c r="L623" s="391"/>
    </row>
    <row r="624" spans="1:12" hidden="1" x14ac:dyDescent="0.25">
      <c r="A624" s="228" t="s">
        <v>2</v>
      </c>
      <c r="B624" s="234" t="s">
        <v>280</v>
      </c>
      <c r="C624" s="230" t="s">
        <v>281</v>
      </c>
      <c r="D624" s="230" t="s">
        <v>282</v>
      </c>
      <c r="E624" s="229" t="s">
        <v>9</v>
      </c>
      <c r="F624" s="231">
        <v>2483.5100000000002</v>
      </c>
      <c r="G624" s="229" t="s">
        <v>1</v>
      </c>
      <c r="H624" s="405">
        <f ca="1">INDEX(PRODUTIVIDADES!$M:$M,MATCH(tbAREAS[[#This Row],[TIPO DE ÁREA]],PRODUTIVIDADES!$B:$B,0)+MATCH(tbAREAS[[#This Row],[LOCALIDADE]],PRODUTIVIDADES!$A:$A,0)-3)*tbAREAS[[#This Row],[ÁREA EM M²]]</f>
        <v>19371.378000000001</v>
      </c>
      <c r="L624" s="391"/>
    </row>
    <row r="625" spans="1:12" hidden="1" x14ac:dyDescent="0.25">
      <c r="A625" s="228" t="s">
        <v>2</v>
      </c>
      <c r="B625" s="234" t="s">
        <v>280</v>
      </c>
      <c r="C625" s="230" t="s">
        <v>281</v>
      </c>
      <c r="D625" s="230" t="s">
        <v>282</v>
      </c>
      <c r="E625" s="229" t="s">
        <v>10</v>
      </c>
      <c r="F625" s="231">
        <v>1471.8</v>
      </c>
      <c r="G625" s="229" t="s">
        <v>1</v>
      </c>
      <c r="H625" s="405">
        <f ca="1">INDEX(PRODUTIVIDADES!$M:$M,MATCH(tbAREAS[[#This Row],[TIPO DE ÁREA]],PRODUTIVIDADES!$B:$B,0)+MATCH(tbAREAS[[#This Row],[LOCALIDADE]],PRODUTIVIDADES!$A:$A,0)-3)*tbAREAS[[#This Row],[ÁREA EM M²]]</f>
        <v>4592.0159999999996</v>
      </c>
      <c r="L625" s="391"/>
    </row>
    <row r="626" spans="1:12" hidden="1" x14ac:dyDescent="0.25">
      <c r="A626" s="228" t="s">
        <v>2</v>
      </c>
      <c r="B626" s="234" t="s">
        <v>280</v>
      </c>
      <c r="C626" s="230" t="s">
        <v>281</v>
      </c>
      <c r="D626" s="230" t="s">
        <v>282</v>
      </c>
      <c r="E626" s="229" t="s">
        <v>14</v>
      </c>
      <c r="F626" s="231">
        <v>105.97</v>
      </c>
      <c r="G626" s="229" t="s">
        <v>1</v>
      </c>
      <c r="H626" s="405">
        <f ca="1">INDEX(PRODUTIVIDADES!$M:$M,MATCH(tbAREAS[[#This Row],[TIPO DE ÁREA]],PRODUTIVIDADES!$B:$B,0)+MATCH(tbAREAS[[#This Row],[LOCALIDADE]],PRODUTIVIDADES!$A:$A,0)-3)*tbAREAS[[#This Row],[ÁREA EM M²]]</f>
        <v>900.745</v>
      </c>
      <c r="L626" s="391"/>
    </row>
    <row r="627" spans="1:12" hidden="1" x14ac:dyDescent="0.25">
      <c r="A627" s="228" t="s">
        <v>2</v>
      </c>
      <c r="B627" s="234" t="s">
        <v>280</v>
      </c>
      <c r="C627" s="230" t="s">
        <v>281</v>
      </c>
      <c r="D627" s="230" t="s">
        <v>282</v>
      </c>
      <c r="E627" s="229" t="s">
        <v>17</v>
      </c>
      <c r="F627" s="231">
        <v>1246.23</v>
      </c>
      <c r="G627" s="229" t="s">
        <v>1</v>
      </c>
      <c r="H627" s="405">
        <f ca="1">INDEX(PRODUTIVIDADES!$M:$M,MATCH(tbAREAS[[#This Row],[TIPO DE ÁREA]],PRODUTIVIDADES!$B:$B,0)+MATCH(tbAREAS[[#This Row],[LOCALIDADE]],PRODUTIVIDADES!$A:$A,0)-3)*tbAREAS[[#This Row],[ÁREA EM M²]]</f>
        <v>2916.1781999999998</v>
      </c>
      <c r="L627" s="391"/>
    </row>
    <row r="628" spans="1:12" hidden="1" x14ac:dyDescent="0.25">
      <c r="A628" s="228" t="s">
        <v>2</v>
      </c>
      <c r="B628" s="234" t="s">
        <v>280</v>
      </c>
      <c r="C628" s="230" t="s">
        <v>281</v>
      </c>
      <c r="D628" s="230" t="s">
        <v>282</v>
      </c>
      <c r="E628" s="229" t="s">
        <v>18</v>
      </c>
      <c r="F628" s="231">
        <v>178.48</v>
      </c>
      <c r="G628" s="229" t="s">
        <v>1</v>
      </c>
      <c r="H628" s="405">
        <f ca="1">INDEX(PRODUTIVIDADES!$M:$M,MATCH(tbAREAS[[#This Row],[TIPO DE ÁREA]],PRODUTIVIDADES!$B:$B,0)+MATCH(tbAREAS[[#This Row],[LOCALIDADE]],PRODUTIVIDADES!$A:$A,0)-3)*tbAREAS[[#This Row],[ÁREA EM M²]]</f>
        <v>8094.0680000000002</v>
      </c>
      <c r="L628" s="391"/>
    </row>
    <row r="629" spans="1:12" hidden="1" x14ac:dyDescent="0.25">
      <c r="A629" s="228" t="s">
        <v>2</v>
      </c>
      <c r="B629" s="234" t="s">
        <v>280</v>
      </c>
      <c r="C629" s="230" t="s">
        <v>281</v>
      </c>
      <c r="D629" s="230" t="s">
        <v>282</v>
      </c>
      <c r="E629" s="229" t="s">
        <v>21</v>
      </c>
      <c r="F629" s="231">
        <v>970</v>
      </c>
      <c r="G629" s="229" t="s">
        <v>1</v>
      </c>
      <c r="H629" s="405">
        <f ca="1">INDEX(PRODUTIVIDADES!$M:$M,MATCH(tbAREAS[[#This Row],[TIPO DE ÁREA]],PRODUTIVIDADES!$B:$B,0)+MATCH(tbAREAS[[#This Row],[LOCALIDADE]],PRODUTIVIDADES!$A:$A,0)-3)*tbAREAS[[#This Row],[ÁREA EM M²]]</f>
        <v>164.9</v>
      </c>
      <c r="L629" s="391"/>
    </row>
    <row r="630" spans="1:12" hidden="1" x14ac:dyDescent="0.25">
      <c r="A630" s="228" t="s">
        <v>2</v>
      </c>
      <c r="B630" s="234" t="s">
        <v>280</v>
      </c>
      <c r="C630" s="230" t="s">
        <v>281</v>
      </c>
      <c r="D630" s="230" t="s">
        <v>282</v>
      </c>
      <c r="E630" s="229" t="s">
        <v>22</v>
      </c>
      <c r="F630" s="231">
        <v>970</v>
      </c>
      <c r="G630" s="229" t="s">
        <v>1</v>
      </c>
      <c r="H630" s="405">
        <f ca="1">INDEX(PRODUTIVIDADES!$M:$M,MATCH(tbAREAS[[#This Row],[TIPO DE ÁREA]],PRODUTIVIDADES!$B:$B,0)+MATCH(tbAREAS[[#This Row],[LOCALIDADE]],PRODUTIVIDADES!$A:$A,0)-3)*tbAREAS[[#This Row],[ÁREA EM M²]]</f>
        <v>388</v>
      </c>
      <c r="L630" s="391"/>
    </row>
    <row r="631" spans="1:12" hidden="1" x14ac:dyDescent="0.25">
      <c r="A631" s="228" t="s">
        <v>2</v>
      </c>
      <c r="B631" s="234" t="s">
        <v>280</v>
      </c>
      <c r="C631" s="230" t="s">
        <v>283</v>
      </c>
      <c r="D631" s="230" t="s">
        <v>282</v>
      </c>
      <c r="E631" s="229" t="s">
        <v>9</v>
      </c>
      <c r="F631" s="231">
        <v>2205.04</v>
      </c>
      <c r="G631" s="229" t="s">
        <v>1</v>
      </c>
      <c r="H631" s="405">
        <f ca="1">INDEX(PRODUTIVIDADES!$M:$M,MATCH(tbAREAS[[#This Row],[TIPO DE ÁREA]],PRODUTIVIDADES!$B:$B,0)+MATCH(tbAREAS[[#This Row],[LOCALIDADE]],PRODUTIVIDADES!$A:$A,0)-3)*tbAREAS[[#This Row],[ÁREA EM M²]]</f>
        <v>17199.311999999998</v>
      </c>
      <c r="L631" s="391"/>
    </row>
    <row r="632" spans="1:12" hidden="1" x14ac:dyDescent="0.25">
      <c r="A632" s="228" t="s">
        <v>2</v>
      </c>
      <c r="B632" s="234" t="s">
        <v>280</v>
      </c>
      <c r="C632" s="230" t="s">
        <v>283</v>
      </c>
      <c r="D632" s="230" t="s">
        <v>282</v>
      </c>
      <c r="E632" s="229" t="s">
        <v>10</v>
      </c>
      <c r="F632" s="231">
        <v>1579.07</v>
      </c>
      <c r="G632" s="229" t="s">
        <v>1</v>
      </c>
      <c r="H632" s="405">
        <f ca="1">INDEX(PRODUTIVIDADES!$M:$M,MATCH(tbAREAS[[#This Row],[TIPO DE ÁREA]],PRODUTIVIDADES!$B:$B,0)+MATCH(tbAREAS[[#This Row],[LOCALIDADE]],PRODUTIVIDADES!$A:$A,0)-3)*tbAREAS[[#This Row],[ÁREA EM M²]]</f>
        <v>4926.6984000000002</v>
      </c>
      <c r="L632" s="391"/>
    </row>
    <row r="633" spans="1:12" hidden="1" x14ac:dyDescent="0.25">
      <c r="A633" s="228" t="s">
        <v>2</v>
      </c>
      <c r="B633" s="234" t="s">
        <v>280</v>
      </c>
      <c r="C633" s="230" t="s">
        <v>283</v>
      </c>
      <c r="D633" s="230" t="s">
        <v>282</v>
      </c>
      <c r="E633" s="229" t="s">
        <v>14</v>
      </c>
      <c r="F633" s="231">
        <v>300.45</v>
      </c>
      <c r="G633" s="229" t="s">
        <v>1</v>
      </c>
      <c r="H633" s="405">
        <f ca="1">INDEX(PRODUTIVIDADES!$M:$M,MATCH(tbAREAS[[#This Row],[TIPO DE ÁREA]],PRODUTIVIDADES!$B:$B,0)+MATCH(tbAREAS[[#This Row],[LOCALIDADE]],PRODUTIVIDADES!$A:$A,0)-3)*tbAREAS[[#This Row],[ÁREA EM M²]]</f>
        <v>2553.8249999999998</v>
      </c>
      <c r="L633" s="391"/>
    </row>
    <row r="634" spans="1:12" hidden="1" x14ac:dyDescent="0.25">
      <c r="A634" s="228" t="s">
        <v>2</v>
      </c>
      <c r="B634" s="234" t="s">
        <v>280</v>
      </c>
      <c r="C634" s="230" t="s">
        <v>283</v>
      </c>
      <c r="D634" s="230" t="s">
        <v>282</v>
      </c>
      <c r="E634" s="229" t="s">
        <v>17</v>
      </c>
      <c r="F634" s="231">
        <v>2720.47</v>
      </c>
      <c r="G634" s="229" t="s">
        <v>1</v>
      </c>
      <c r="H634" s="405">
        <f ca="1">INDEX(PRODUTIVIDADES!$M:$M,MATCH(tbAREAS[[#This Row],[TIPO DE ÁREA]],PRODUTIVIDADES!$B:$B,0)+MATCH(tbAREAS[[#This Row],[LOCALIDADE]],PRODUTIVIDADES!$A:$A,0)-3)*tbAREAS[[#This Row],[ÁREA EM M²]]</f>
        <v>6365.8997999999992</v>
      </c>
      <c r="L634" s="391"/>
    </row>
    <row r="635" spans="1:12" hidden="1" x14ac:dyDescent="0.25">
      <c r="A635" s="228" t="s">
        <v>2</v>
      </c>
      <c r="B635" s="234" t="s">
        <v>280</v>
      </c>
      <c r="C635" s="230" t="s">
        <v>283</v>
      </c>
      <c r="D635" s="230" t="s">
        <v>282</v>
      </c>
      <c r="E635" s="229" t="s">
        <v>18</v>
      </c>
      <c r="F635" s="231">
        <v>406.96</v>
      </c>
      <c r="G635" s="229" t="s">
        <v>1</v>
      </c>
      <c r="H635" s="405">
        <f ca="1">INDEX(PRODUTIVIDADES!$M:$M,MATCH(tbAREAS[[#This Row],[TIPO DE ÁREA]],PRODUTIVIDADES!$B:$B,0)+MATCH(tbAREAS[[#This Row],[LOCALIDADE]],PRODUTIVIDADES!$A:$A,0)-3)*tbAREAS[[#This Row],[ÁREA EM M²]]</f>
        <v>18455.635999999999</v>
      </c>
      <c r="L635" s="391"/>
    </row>
    <row r="636" spans="1:12" hidden="1" x14ac:dyDescent="0.25">
      <c r="A636" s="228" t="s">
        <v>2</v>
      </c>
      <c r="B636" s="234" t="s">
        <v>280</v>
      </c>
      <c r="C636" s="230" t="s">
        <v>283</v>
      </c>
      <c r="D636" s="230" t="s">
        <v>282</v>
      </c>
      <c r="E636" s="229" t="s">
        <v>21</v>
      </c>
      <c r="F636" s="231">
        <v>1146.08</v>
      </c>
      <c r="G636" s="229" t="s">
        <v>1</v>
      </c>
      <c r="H636" s="405">
        <f ca="1">INDEX(PRODUTIVIDADES!$M:$M,MATCH(tbAREAS[[#This Row],[TIPO DE ÁREA]],PRODUTIVIDADES!$B:$B,0)+MATCH(tbAREAS[[#This Row],[LOCALIDADE]],PRODUTIVIDADES!$A:$A,0)-3)*tbAREAS[[#This Row],[ÁREA EM M²]]</f>
        <v>194.83359999999999</v>
      </c>
      <c r="L636" s="391"/>
    </row>
    <row r="637" spans="1:12" hidden="1" x14ac:dyDescent="0.25">
      <c r="A637" s="228" t="s">
        <v>2</v>
      </c>
      <c r="B637" s="234" t="s">
        <v>280</v>
      </c>
      <c r="C637" s="230" t="s">
        <v>283</v>
      </c>
      <c r="D637" s="230" t="s">
        <v>282</v>
      </c>
      <c r="E637" s="229" t="s">
        <v>22</v>
      </c>
      <c r="F637" s="231">
        <v>1146.08</v>
      </c>
      <c r="G637" s="229" t="s">
        <v>1</v>
      </c>
      <c r="H637" s="405">
        <f ca="1">INDEX(PRODUTIVIDADES!$M:$M,MATCH(tbAREAS[[#This Row],[TIPO DE ÁREA]],PRODUTIVIDADES!$B:$B,0)+MATCH(tbAREAS[[#This Row],[LOCALIDADE]],PRODUTIVIDADES!$A:$A,0)-3)*tbAREAS[[#This Row],[ÁREA EM M²]]</f>
        <v>458.43200000000002</v>
      </c>
      <c r="L637" s="391"/>
    </row>
    <row r="638" spans="1:12" hidden="1" x14ac:dyDescent="0.25">
      <c r="A638" s="228" t="s">
        <v>2</v>
      </c>
      <c r="B638" s="234" t="s">
        <v>280</v>
      </c>
      <c r="C638" s="230" t="s">
        <v>284</v>
      </c>
      <c r="D638" s="230" t="s">
        <v>282</v>
      </c>
      <c r="E638" s="229" t="s">
        <v>9</v>
      </c>
      <c r="F638" s="231">
        <v>1499.86</v>
      </c>
      <c r="G638" s="229" t="s">
        <v>1</v>
      </c>
      <c r="H638" s="405">
        <f ca="1">INDEX(PRODUTIVIDADES!$M:$M,MATCH(tbAREAS[[#This Row],[TIPO DE ÁREA]],PRODUTIVIDADES!$B:$B,0)+MATCH(tbAREAS[[#This Row],[LOCALIDADE]],PRODUTIVIDADES!$A:$A,0)-3)*tbAREAS[[#This Row],[ÁREA EM M²]]</f>
        <v>11698.907999999999</v>
      </c>
      <c r="L638" s="391"/>
    </row>
    <row r="639" spans="1:12" hidden="1" x14ac:dyDescent="0.25">
      <c r="A639" s="228" t="s">
        <v>2</v>
      </c>
      <c r="B639" s="234" t="s">
        <v>280</v>
      </c>
      <c r="C639" s="230" t="s">
        <v>284</v>
      </c>
      <c r="D639" s="230" t="s">
        <v>282</v>
      </c>
      <c r="E639" s="229" t="s">
        <v>10</v>
      </c>
      <c r="F639" s="231">
        <v>2109.44</v>
      </c>
      <c r="G639" s="229" t="s">
        <v>1</v>
      </c>
      <c r="H639" s="405">
        <f ca="1">INDEX(PRODUTIVIDADES!$M:$M,MATCH(tbAREAS[[#This Row],[TIPO DE ÁREA]],PRODUTIVIDADES!$B:$B,0)+MATCH(tbAREAS[[#This Row],[LOCALIDADE]],PRODUTIVIDADES!$A:$A,0)-3)*tbAREAS[[#This Row],[ÁREA EM M²]]</f>
        <v>6581.4528</v>
      </c>
      <c r="L639" s="391"/>
    </row>
    <row r="640" spans="1:12" hidden="1" x14ac:dyDescent="0.25">
      <c r="A640" s="228" t="s">
        <v>2</v>
      </c>
      <c r="B640" s="234" t="s">
        <v>280</v>
      </c>
      <c r="C640" s="230" t="s">
        <v>284</v>
      </c>
      <c r="D640" s="230" t="s">
        <v>282</v>
      </c>
      <c r="E640" s="229" t="s">
        <v>14</v>
      </c>
      <c r="F640" s="231">
        <v>263.19</v>
      </c>
      <c r="G640" s="229" t="s">
        <v>1</v>
      </c>
      <c r="H640" s="405">
        <f ca="1">INDEX(PRODUTIVIDADES!$M:$M,MATCH(tbAREAS[[#This Row],[TIPO DE ÁREA]],PRODUTIVIDADES!$B:$B,0)+MATCH(tbAREAS[[#This Row],[LOCALIDADE]],PRODUTIVIDADES!$A:$A,0)-3)*tbAREAS[[#This Row],[ÁREA EM M²]]</f>
        <v>2237.1149999999998</v>
      </c>
      <c r="L640" s="391"/>
    </row>
    <row r="641" spans="1:12" hidden="1" x14ac:dyDescent="0.25">
      <c r="A641" s="228" t="s">
        <v>2</v>
      </c>
      <c r="B641" s="234" t="s">
        <v>280</v>
      </c>
      <c r="C641" s="230" t="s">
        <v>284</v>
      </c>
      <c r="D641" s="230" t="s">
        <v>282</v>
      </c>
      <c r="E641" s="229" t="s">
        <v>15</v>
      </c>
      <c r="F641" s="231">
        <v>57.75</v>
      </c>
      <c r="G641" s="229" t="s">
        <v>1</v>
      </c>
      <c r="H641" s="405">
        <f ca="1">INDEX(PRODUTIVIDADES!$M:$M,MATCH(tbAREAS[[#This Row],[TIPO DE ÁREA]],PRODUTIVIDADES!$B:$B,0)+MATCH(tbAREAS[[#This Row],[LOCALIDADE]],PRODUTIVIDADES!$A:$A,0)-3)*tbAREAS[[#This Row],[ÁREA EM M²]]</f>
        <v>39.847499999999997</v>
      </c>
      <c r="L641" s="391"/>
    </row>
    <row r="642" spans="1:12" hidden="1" x14ac:dyDescent="0.25">
      <c r="A642" s="228" t="s">
        <v>2</v>
      </c>
      <c r="B642" s="234" t="s">
        <v>280</v>
      </c>
      <c r="C642" s="230" t="s">
        <v>284</v>
      </c>
      <c r="D642" s="230" t="s">
        <v>282</v>
      </c>
      <c r="E642" s="229" t="s">
        <v>17</v>
      </c>
      <c r="F642" s="231">
        <v>3037.04</v>
      </c>
      <c r="G642" s="229" t="s">
        <v>1</v>
      </c>
      <c r="H642" s="405">
        <f ca="1">INDEX(PRODUTIVIDADES!$M:$M,MATCH(tbAREAS[[#This Row],[TIPO DE ÁREA]],PRODUTIVIDADES!$B:$B,0)+MATCH(tbAREAS[[#This Row],[LOCALIDADE]],PRODUTIVIDADES!$A:$A,0)-3)*tbAREAS[[#This Row],[ÁREA EM M²]]</f>
        <v>7106.6735999999992</v>
      </c>
      <c r="L642" s="391"/>
    </row>
    <row r="643" spans="1:12" hidden="1" x14ac:dyDescent="0.25">
      <c r="A643" s="228" t="s">
        <v>2</v>
      </c>
      <c r="B643" s="234" t="s">
        <v>280</v>
      </c>
      <c r="C643" s="230" t="s">
        <v>284</v>
      </c>
      <c r="D643" s="230" t="s">
        <v>282</v>
      </c>
      <c r="E643" s="229" t="s">
        <v>18</v>
      </c>
      <c r="F643" s="231">
        <v>405.76</v>
      </c>
      <c r="G643" s="229" t="s">
        <v>1</v>
      </c>
      <c r="H643" s="405">
        <f ca="1">INDEX(PRODUTIVIDADES!$M:$M,MATCH(tbAREAS[[#This Row],[TIPO DE ÁREA]],PRODUTIVIDADES!$B:$B,0)+MATCH(tbAREAS[[#This Row],[LOCALIDADE]],PRODUTIVIDADES!$A:$A,0)-3)*tbAREAS[[#This Row],[ÁREA EM M²]]</f>
        <v>18401.216</v>
      </c>
      <c r="L643" s="391"/>
    </row>
    <row r="644" spans="1:12" hidden="1" x14ac:dyDescent="0.25">
      <c r="A644" s="228" t="s">
        <v>2</v>
      </c>
      <c r="B644" s="234" t="s">
        <v>280</v>
      </c>
      <c r="C644" s="230" t="s">
        <v>284</v>
      </c>
      <c r="D644" s="230" t="s">
        <v>282</v>
      </c>
      <c r="E644" s="229" t="s">
        <v>21</v>
      </c>
      <c r="F644" s="231">
        <v>1691.2</v>
      </c>
      <c r="G644" s="229" t="s">
        <v>1</v>
      </c>
      <c r="H644" s="405">
        <f ca="1">INDEX(PRODUTIVIDADES!$M:$M,MATCH(tbAREAS[[#This Row],[TIPO DE ÁREA]],PRODUTIVIDADES!$B:$B,0)+MATCH(tbAREAS[[#This Row],[LOCALIDADE]],PRODUTIVIDADES!$A:$A,0)-3)*tbAREAS[[#This Row],[ÁREA EM M²]]</f>
        <v>287.50400000000002</v>
      </c>
      <c r="L644" s="391"/>
    </row>
    <row r="645" spans="1:12" hidden="1" x14ac:dyDescent="0.25">
      <c r="A645" s="228" t="s">
        <v>2</v>
      </c>
      <c r="B645" s="234" t="s">
        <v>280</v>
      </c>
      <c r="C645" s="230" t="s">
        <v>284</v>
      </c>
      <c r="D645" s="230" t="s">
        <v>282</v>
      </c>
      <c r="E645" s="229" t="s">
        <v>22</v>
      </c>
      <c r="F645" s="231">
        <v>1691.2</v>
      </c>
      <c r="G645" s="229" t="s">
        <v>1</v>
      </c>
      <c r="H645" s="405">
        <f ca="1">INDEX(PRODUTIVIDADES!$M:$M,MATCH(tbAREAS[[#This Row],[TIPO DE ÁREA]],PRODUTIVIDADES!$B:$B,0)+MATCH(tbAREAS[[#This Row],[LOCALIDADE]],PRODUTIVIDADES!$A:$A,0)-3)*tbAREAS[[#This Row],[ÁREA EM M²]]</f>
        <v>676.48</v>
      </c>
      <c r="L645" s="391"/>
    </row>
    <row r="646" spans="1:12" hidden="1" x14ac:dyDescent="0.25">
      <c r="A646" s="228" t="s">
        <v>2</v>
      </c>
      <c r="B646" s="234" t="s">
        <v>280</v>
      </c>
      <c r="C646" s="230" t="s">
        <v>285</v>
      </c>
      <c r="D646" s="230" t="s">
        <v>282</v>
      </c>
      <c r="E646" s="229" t="s">
        <v>9</v>
      </c>
      <c r="F646" s="231">
        <v>479.3</v>
      </c>
      <c r="G646" s="229" t="s">
        <v>1</v>
      </c>
      <c r="H646" s="405">
        <f ca="1">INDEX(PRODUTIVIDADES!$M:$M,MATCH(tbAREAS[[#This Row],[TIPO DE ÁREA]],PRODUTIVIDADES!$B:$B,0)+MATCH(tbAREAS[[#This Row],[LOCALIDADE]],PRODUTIVIDADES!$A:$A,0)-3)*tbAREAS[[#This Row],[ÁREA EM M²]]</f>
        <v>3738.54</v>
      </c>
      <c r="L646" s="391"/>
    </row>
    <row r="647" spans="1:12" hidden="1" x14ac:dyDescent="0.25">
      <c r="A647" s="228" t="s">
        <v>2</v>
      </c>
      <c r="B647" s="234" t="s">
        <v>280</v>
      </c>
      <c r="C647" s="230" t="s">
        <v>285</v>
      </c>
      <c r="D647" s="230" t="s">
        <v>282</v>
      </c>
      <c r="E647" s="229" t="s">
        <v>10</v>
      </c>
      <c r="F647" s="231">
        <v>745.4</v>
      </c>
      <c r="G647" s="229" t="s">
        <v>1</v>
      </c>
      <c r="H647" s="405">
        <f ca="1">INDEX(PRODUTIVIDADES!$M:$M,MATCH(tbAREAS[[#This Row],[TIPO DE ÁREA]],PRODUTIVIDADES!$B:$B,0)+MATCH(tbAREAS[[#This Row],[LOCALIDADE]],PRODUTIVIDADES!$A:$A,0)-3)*tbAREAS[[#This Row],[ÁREA EM M²]]</f>
        <v>2325.6480000000001</v>
      </c>
      <c r="L647" s="391"/>
    </row>
    <row r="648" spans="1:12" hidden="1" x14ac:dyDescent="0.25">
      <c r="A648" s="228" t="s">
        <v>2</v>
      </c>
      <c r="B648" s="234" t="s">
        <v>280</v>
      </c>
      <c r="C648" s="230" t="s">
        <v>285</v>
      </c>
      <c r="D648" s="230" t="s">
        <v>282</v>
      </c>
      <c r="E648" s="229" t="s">
        <v>17</v>
      </c>
      <c r="F648" s="231">
        <v>322.66000000000003</v>
      </c>
      <c r="G648" s="229" t="s">
        <v>1</v>
      </c>
      <c r="H648" s="405">
        <f ca="1">INDEX(PRODUTIVIDADES!$M:$M,MATCH(tbAREAS[[#This Row],[TIPO DE ÁREA]],PRODUTIVIDADES!$B:$B,0)+MATCH(tbAREAS[[#This Row],[LOCALIDADE]],PRODUTIVIDADES!$A:$A,0)-3)*tbAREAS[[#This Row],[ÁREA EM M²]]</f>
        <v>755.02440000000001</v>
      </c>
      <c r="L648" s="391"/>
    </row>
    <row r="649" spans="1:12" hidden="1" x14ac:dyDescent="0.25">
      <c r="A649" s="228" t="s">
        <v>2</v>
      </c>
      <c r="B649" s="234" t="s">
        <v>280</v>
      </c>
      <c r="C649" s="230" t="s">
        <v>285</v>
      </c>
      <c r="D649" s="230" t="s">
        <v>282</v>
      </c>
      <c r="E649" s="229" t="s">
        <v>18</v>
      </c>
      <c r="F649" s="231">
        <v>46.19</v>
      </c>
      <c r="G649" s="229" t="s">
        <v>1</v>
      </c>
      <c r="H649" s="405">
        <f ca="1">INDEX(PRODUTIVIDADES!$M:$M,MATCH(tbAREAS[[#This Row],[TIPO DE ÁREA]],PRODUTIVIDADES!$B:$B,0)+MATCH(tbAREAS[[#This Row],[LOCALIDADE]],PRODUTIVIDADES!$A:$A,0)-3)*tbAREAS[[#This Row],[ÁREA EM M²]]</f>
        <v>2094.7165</v>
      </c>
      <c r="L649" s="391"/>
    </row>
    <row r="650" spans="1:12" hidden="1" x14ac:dyDescent="0.25">
      <c r="A650" s="228" t="s">
        <v>2</v>
      </c>
      <c r="B650" s="234" t="s">
        <v>280</v>
      </c>
      <c r="C650" s="230" t="s">
        <v>285</v>
      </c>
      <c r="D650" s="230" t="s">
        <v>282</v>
      </c>
      <c r="E650" s="229" t="s">
        <v>21</v>
      </c>
      <c r="F650" s="231">
        <v>536.16999999999996</v>
      </c>
      <c r="G650" s="229" t="s">
        <v>1</v>
      </c>
      <c r="H650" s="405">
        <f ca="1">INDEX(PRODUTIVIDADES!$M:$M,MATCH(tbAREAS[[#This Row],[TIPO DE ÁREA]],PRODUTIVIDADES!$B:$B,0)+MATCH(tbAREAS[[#This Row],[LOCALIDADE]],PRODUTIVIDADES!$A:$A,0)-3)*tbAREAS[[#This Row],[ÁREA EM M²]]</f>
        <v>91.148899999999998</v>
      </c>
      <c r="L650" s="391"/>
    </row>
    <row r="651" spans="1:12" hidden="1" x14ac:dyDescent="0.25">
      <c r="A651" s="228" t="s">
        <v>2</v>
      </c>
      <c r="B651" s="234" t="s">
        <v>280</v>
      </c>
      <c r="C651" s="230" t="s">
        <v>285</v>
      </c>
      <c r="D651" s="230" t="s">
        <v>282</v>
      </c>
      <c r="E651" s="229" t="s">
        <v>22</v>
      </c>
      <c r="F651" s="231">
        <v>536.16999999999996</v>
      </c>
      <c r="G651" s="229" t="s">
        <v>1</v>
      </c>
      <c r="H651" s="405">
        <f ca="1">INDEX(PRODUTIVIDADES!$M:$M,MATCH(tbAREAS[[#This Row],[TIPO DE ÁREA]],PRODUTIVIDADES!$B:$B,0)+MATCH(tbAREAS[[#This Row],[LOCALIDADE]],PRODUTIVIDADES!$A:$A,0)-3)*tbAREAS[[#This Row],[ÁREA EM M²]]</f>
        <v>214.46799999999999</v>
      </c>
      <c r="L651" s="391"/>
    </row>
    <row r="652" spans="1:12" hidden="1" x14ac:dyDescent="0.25">
      <c r="A652" s="228" t="s">
        <v>2</v>
      </c>
      <c r="B652" s="234" t="s">
        <v>260</v>
      </c>
      <c r="C652" s="230" t="s">
        <v>286</v>
      </c>
      <c r="D652" s="230" t="s">
        <v>287</v>
      </c>
      <c r="E652" s="229" t="s">
        <v>11</v>
      </c>
      <c r="F652" s="231">
        <v>1350.35</v>
      </c>
      <c r="G652" s="229" t="s">
        <v>1</v>
      </c>
      <c r="H652" s="405">
        <f ca="1">INDEX(PRODUTIVIDADES!$M:$M,MATCH(tbAREAS[[#This Row],[TIPO DE ÁREA]],PRODUTIVIDADES!$B:$B,0)+MATCH(tbAREAS[[#This Row],[LOCALIDADE]],PRODUTIVIDADES!$A:$A,0)-3)*tbAREAS[[#This Row],[ÁREA EM M²]]</f>
        <v>4213.0919999999996</v>
      </c>
      <c r="L652" s="391"/>
    </row>
    <row r="653" spans="1:12" hidden="1" x14ac:dyDescent="0.25">
      <c r="A653" s="228" t="s">
        <v>2</v>
      </c>
      <c r="B653" s="234" t="s">
        <v>260</v>
      </c>
      <c r="C653" s="230" t="s">
        <v>286</v>
      </c>
      <c r="D653" s="230" t="s">
        <v>287</v>
      </c>
      <c r="E653" s="229" t="s">
        <v>15</v>
      </c>
      <c r="F653" s="231">
        <v>32.450000000000003</v>
      </c>
      <c r="G653" s="229" t="s">
        <v>1</v>
      </c>
      <c r="H653" s="405">
        <f ca="1">INDEX(PRODUTIVIDADES!$M:$M,MATCH(tbAREAS[[#This Row],[TIPO DE ÁREA]],PRODUTIVIDADES!$B:$B,0)+MATCH(tbAREAS[[#This Row],[LOCALIDADE]],PRODUTIVIDADES!$A:$A,0)-3)*tbAREAS[[#This Row],[ÁREA EM M²]]</f>
        <v>22.390499999999999</v>
      </c>
      <c r="L653" s="391"/>
    </row>
    <row r="654" spans="1:12" hidden="1" x14ac:dyDescent="0.25">
      <c r="A654" s="228" t="s">
        <v>2</v>
      </c>
      <c r="B654" s="234" t="s">
        <v>260</v>
      </c>
      <c r="C654" s="230" t="s">
        <v>286</v>
      </c>
      <c r="D654" s="230" t="s">
        <v>287</v>
      </c>
      <c r="E654" s="229" t="s">
        <v>17</v>
      </c>
      <c r="F654" s="231">
        <v>766.1</v>
      </c>
      <c r="G654" s="229" t="s">
        <v>1</v>
      </c>
      <c r="H654" s="405">
        <f ca="1">INDEX(PRODUTIVIDADES!$M:$M,MATCH(tbAREAS[[#This Row],[TIPO DE ÁREA]],PRODUTIVIDADES!$B:$B,0)+MATCH(tbAREAS[[#This Row],[LOCALIDADE]],PRODUTIVIDADES!$A:$A,0)-3)*tbAREAS[[#This Row],[ÁREA EM M²]]</f>
        <v>1792.674</v>
      </c>
      <c r="L654" s="391"/>
    </row>
    <row r="655" spans="1:12" hidden="1" x14ac:dyDescent="0.25">
      <c r="A655" s="228" t="s">
        <v>2</v>
      </c>
      <c r="B655" s="234" t="s">
        <v>260</v>
      </c>
      <c r="C655" s="230" t="s">
        <v>286</v>
      </c>
      <c r="D655" s="230" t="s">
        <v>287</v>
      </c>
      <c r="E655" s="229" t="s">
        <v>18</v>
      </c>
      <c r="F655" s="231">
        <v>66.41</v>
      </c>
      <c r="G655" s="229" t="s">
        <v>1</v>
      </c>
      <c r="H655" s="405">
        <f ca="1">INDEX(PRODUTIVIDADES!$M:$M,MATCH(tbAREAS[[#This Row],[TIPO DE ÁREA]],PRODUTIVIDADES!$B:$B,0)+MATCH(tbAREAS[[#This Row],[LOCALIDADE]],PRODUTIVIDADES!$A:$A,0)-3)*tbAREAS[[#This Row],[ÁREA EM M²]]</f>
        <v>3011.6934999999999</v>
      </c>
      <c r="L655" s="391"/>
    </row>
    <row r="656" spans="1:12" hidden="1" x14ac:dyDescent="0.25">
      <c r="A656" s="228" t="s">
        <v>2</v>
      </c>
      <c r="B656" s="234" t="s">
        <v>260</v>
      </c>
      <c r="C656" s="230" t="s">
        <v>286</v>
      </c>
      <c r="D656" s="230" t="s">
        <v>287</v>
      </c>
      <c r="E656" s="229" t="s">
        <v>17</v>
      </c>
      <c r="F656" s="231">
        <v>220</v>
      </c>
      <c r="G656" s="229" t="s">
        <v>1</v>
      </c>
      <c r="H656" s="405">
        <f ca="1">INDEX(PRODUTIVIDADES!$M:$M,MATCH(tbAREAS[[#This Row],[TIPO DE ÁREA]],PRODUTIVIDADES!$B:$B,0)+MATCH(tbAREAS[[#This Row],[LOCALIDADE]],PRODUTIVIDADES!$A:$A,0)-3)*tbAREAS[[#This Row],[ÁREA EM M²]]</f>
        <v>514.79999999999995</v>
      </c>
      <c r="L656" s="391"/>
    </row>
    <row r="657" spans="1:12" hidden="1" x14ac:dyDescent="0.25">
      <c r="A657" s="228" t="s">
        <v>2</v>
      </c>
      <c r="B657" s="234" t="s">
        <v>260</v>
      </c>
      <c r="C657" s="230" t="s">
        <v>286</v>
      </c>
      <c r="D657" s="230" t="s">
        <v>287</v>
      </c>
      <c r="E657" s="229" t="s">
        <v>21</v>
      </c>
      <c r="F657" s="231">
        <v>341.55</v>
      </c>
      <c r="G657" s="229" t="s">
        <v>1</v>
      </c>
      <c r="H657" s="405">
        <f ca="1">INDEX(PRODUTIVIDADES!$M:$M,MATCH(tbAREAS[[#This Row],[TIPO DE ÁREA]],PRODUTIVIDADES!$B:$B,0)+MATCH(tbAREAS[[#This Row],[LOCALIDADE]],PRODUTIVIDADES!$A:$A,0)-3)*tbAREAS[[#This Row],[ÁREA EM M²]]</f>
        <v>58.063500000000005</v>
      </c>
      <c r="L657" s="391"/>
    </row>
    <row r="658" spans="1:12" hidden="1" x14ac:dyDescent="0.25">
      <c r="A658" s="228" t="s">
        <v>2</v>
      </c>
      <c r="B658" s="234" t="s">
        <v>260</v>
      </c>
      <c r="C658" s="230" t="s">
        <v>286</v>
      </c>
      <c r="D658" s="230" t="s">
        <v>287</v>
      </c>
      <c r="E658" s="229" t="s">
        <v>22</v>
      </c>
      <c r="F658" s="231">
        <v>341.55</v>
      </c>
      <c r="G658" s="229" t="s">
        <v>1</v>
      </c>
      <c r="H658" s="405">
        <f ca="1">INDEX(PRODUTIVIDADES!$M:$M,MATCH(tbAREAS[[#This Row],[TIPO DE ÁREA]],PRODUTIVIDADES!$B:$B,0)+MATCH(tbAREAS[[#This Row],[LOCALIDADE]],PRODUTIVIDADES!$A:$A,0)-3)*tbAREAS[[#This Row],[ÁREA EM M²]]</f>
        <v>136.62</v>
      </c>
      <c r="L658" s="391"/>
    </row>
    <row r="659" spans="1:12" hidden="1" x14ac:dyDescent="0.25">
      <c r="A659" s="228" t="s">
        <v>2</v>
      </c>
      <c r="B659" s="234" t="s">
        <v>288</v>
      </c>
      <c r="C659" s="230" t="s">
        <v>133</v>
      </c>
      <c r="D659" s="230" t="s">
        <v>289</v>
      </c>
      <c r="E659" s="229" t="s">
        <v>9</v>
      </c>
      <c r="F659" s="231">
        <v>1427.39</v>
      </c>
      <c r="G659" s="229" t="s">
        <v>1</v>
      </c>
      <c r="H659" s="405">
        <f ca="1">INDEX(PRODUTIVIDADES!$M:$M,MATCH(tbAREAS[[#This Row],[TIPO DE ÁREA]],PRODUTIVIDADES!$B:$B,0)+MATCH(tbAREAS[[#This Row],[LOCALIDADE]],PRODUTIVIDADES!$A:$A,0)-3)*tbAREAS[[#This Row],[ÁREA EM M²]]</f>
        <v>11133.642</v>
      </c>
      <c r="L659" s="391"/>
    </row>
    <row r="660" spans="1:12" hidden="1" x14ac:dyDescent="0.25">
      <c r="A660" s="228" t="s">
        <v>2</v>
      </c>
      <c r="B660" s="234" t="s">
        <v>288</v>
      </c>
      <c r="C660" s="230" t="s">
        <v>133</v>
      </c>
      <c r="D660" s="230" t="s">
        <v>289</v>
      </c>
      <c r="E660" s="229" t="s">
        <v>10</v>
      </c>
      <c r="F660" s="231">
        <v>2542.12</v>
      </c>
      <c r="G660" s="229" t="s">
        <v>1</v>
      </c>
      <c r="H660" s="405">
        <f ca="1">INDEX(PRODUTIVIDADES!$M:$M,MATCH(tbAREAS[[#This Row],[TIPO DE ÁREA]],PRODUTIVIDADES!$B:$B,0)+MATCH(tbAREAS[[#This Row],[LOCALIDADE]],PRODUTIVIDADES!$A:$A,0)-3)*tbAREAS[[#This Row],[ÁREA EM M²]]</f>
        <v>7931.4143999999997</v>
      </c>
      <c r="L660" s="391"/>
    </row>
    <row r="661" spans="1:12" hidden="1" x14ac:dyDescent="0.25">
      <c r="A661" s="228" t="s">
        <v>2</v>
      </c>
      <c r="B661" s="234" t="s">
        <v>288</v>
      </c>
      <c r="C661" s="230" t="s">
        <v>133</v>
      </c>
      <c r="D661" s="230" t="s">
        <v>289</v>
      </c>
      <c r="E661" s="229" t="s">
        <v>13</v>
      </c>
      <c r="F661" s="231">
        <v>196.72</v>
      </c>
      <c r="G661" s="229" t="s">
        <v>1</v>
      </c>
      <c r="H661" s="405">
        <f ca="1">INDEX(PRODUTIVIDADES!$M:$M,MATCH(tbAREAS[[#This Row],[TIPO DE ÁREA]],PRODUTIVIDADES!$B:$B,0)+MATCH(tbAREAS[[#This Row],[LOCALIDADE]],PRODUTIVIDADES!$A:$A,0)-3)*tbAREAS[[#This Row],[ÁREA EM M²]]</f>
        <v>613.76639999999998</v>
      </c>
      <c r="L661" s="391"/>
    </row>
    <row r="662" spans="1:12" hidden="1" x14ac:dyDescent="0.25">
      <c r="A662" s="228" t="s">
        <v>2</v>
      </c>
      <c r="B662" s="234" t="s">
        <v>288</v>
      </c>
      <c r="C662" s="230" t="s">
        <v>133</v>
      </c>
      <c r="D662" s="230" t="s">
        <v>289</v>
      </c>
      <c r="E662" s="229" t="s">
        <v>14</v>
      </c>
      <c r="F662" s="231">
        <v>587.72</v>
      </c>
      <c r="G662" s="229" t="s">
        <v>1</v>
      </c>
      <c r="H662" s="405">
        <f ca="1">INDEX(PRODUTIVIDADES!$M:$M,MATCH(tbAREAS[[#This Row],[TIPO DE ÁREA]],PRODUTIVIDADES!$B:$B,0)+MATCH(tbAREAS[[#This Row],[LOCALIDADE]],PRODUTIVIDADES!$A:$A,0)-3)*tbAREAS[[#This Row],[ÁREA EM M²]]</f>
        <v>4995.62</v>
      </c>
      <c r="L662" s="391"/>
    </row>
    <row r="663" spans="1:12" hidden="1" x14ac:dyDescent="0.25">
      <c r="A663" s="228" t="s">
        <v>2</v>
      </c>
      <c r="B663" s="234" t="s">
        <v>288</v>
      </c>
      <c r="C663" s="230" t="s">
        <v>133</v>
      </c>
      <c r="D663" s="230" t="s">
        <v>289</v>
      </c>
      <c r="E663" s="229" t="s">
        <v>15</v>
      </c>
      <c r="F663" s="231">
        <v>207.15</v>
      </c>
      <c r="G663" s="229" t="s">
        <v>1</v>
      </c>
      <c r="H663" s="405">
        <f ca="1">INDEX(PRODUTIVIDADES!$M:$M,MATCH(tbAREAS[[#This Row],[TIPO DE ÁREA]],PRODUTIVIDADES!$B:$B,0)+MATCH(tbAREAS[[#This Row],[LOCALIDADE]],PRODUTIVIDADES!$A:$A,0)-3)*tbAREAS[[#This Row],[ÁREA EM M²]]</f>
        <v>142.93349999999998</v>
      </c>
      <c r="L663" s="391"/>
    </row>
    <row r="664" spans="1:12" hidden="1" x14ac:dyDescent="0.25">
      <c r="A664" s="228" t="s">
        <v>2</v>
      </c>
      <c r="B664" s="234" t="s">
        <v>288</v>
      </c>
      <c r="C664" s="230" t="s">
        <v>133</v>
      </c>
      <c r="D664" s="230" t="s">
        <v>289</v>
      </c>
      <c r="E664" s="229" t="s">
        <v>17</v>
      </c>
      <c r="F664" s="231">
        <v>2246.8000000000002</v>
      </c>
      <c r="G664" s="229" t="s">
        <v>1</v>
      </c>
      <c r="H664" s="405">
        <f ca="1">INDEX(PRODUTIVIDADES!$M:$M,MATCH(tbAREAS[[#This Row],[TIPO DE ÁREA]],PRODUTIVIDADES!$B:$B,0)+MATCH(tbAREAS[[#This Row],[LOCALIDADE]],PRODUTIVIDADES!$A:$A,0)-3)*tbAREAS[[#This Row],[ÁREA EM M²]]</f>
        <v>5257.5119999999997</v>
      </c>
      <c r="L664" s="391"/>
    </row>
    <row r="665" spans="1:12" hidden="1" x14ac:dyDescent="0.25">
      <c r="A665" s="228" t="s">
        <v>2</v>
      </c>
      <c r="B665" s="234" t="s">
        <v>288</v>
      </c>
      <c r="C665" s="230" t="s">
        <v>133</v>
      </c>
      <c r="D665" s="230" t="s">
        <v>289</v>
      </c>
      <c r="E665" s="229" t="s">
        <v>18</v>
      </c>
      <c r="F665" s="231">
        <v>379.22</v>
      </c>
      <c r="G665" s="229" t="s">
        <v>1</v>
      </c>
      <c r="H665" s="405">
        <f ca="1">INDEX(PRODUTIVIDADES!$M:$M,MATCH(tbAREAS[[#This Row],[TIPO DE ÁREA]],PRODUTIVIDADES!$B:$B,0)+MATCH(tbAREAS[[#This Row],[LOCALIDADE]],PRODUTIVIDADES!$A:$A,0)-3)*tbAREAS[[#This Row],[ÁREA EM M²]]</f>
        <v>17197.627</v>
      </c>
      <c r="L665" s="391"/>
    </row>
    <row r="666" spans="1:12" hidden="1" x14ac:dyDescent="0.25">
      <c r="A666" s="228" t="s">
        <v>2</v>
      </c>
      <c r="B666" s="234" t="s">
        <v>288</v>
      </c>
      <c r="C666" s="230" t="s">
        <v>133</v>
      </c>
      <c r="D666" s="230" t="s">
        <v>289</v>
      </c>
      <c r="E666" s="229" t="s">
        <v>21</v>
      </c>
      <c r="F666" s="231">
        <v>1805.84</v>
      </c>
      <c r="G666" s="229" t="s">
        <v>1</v>
      </c>
      <c r="H666" s="405">
        <f ca="1">INDEX(PRODUTIVIDADES!$M:$M,MATCH(tbAREAS[[#This Row],[TIPO DE ÁREA]],PRODUTIVIDADES!$B:$B,0)+MATCH(tbAREAS[[#This Row],[LOCALIDADE]],PRODUTIVIDADES!$A:$A,0)-3)*tbAREAS[[#This Row],[ÁREA EM M²]]</f>
        <v>306.99279999999999</v>
      </c>
      <c r="L666" s="391"/>
    </row>
    <row r="667" spans="1:12" hidden="1" x14ac:dyDescent="0.25">
      <c r="A667" s="228" t="s">
        <v>2</v>
      </c>
      <c r="B667" s="234" t="s">
        <v>288</v>
      </c>
      <c r="C667" s="230" t="s">
        <v>133</v>
      </c>
      <c r="D667" s="230" t="s">
        <v>289</v>
      </c>
      <c r="E667" s="229" t="s">
        <v>22</v>
      </c>
      <c r="F667" s="231">
        <v>1805.84</v>
      </c>
      <c r="G667" s="229" t="s">
        <v>1</v>
      </c>
      <c r="H667" s="405">
        <f ca="1">INDEX(PRODUTIVIDADES!$M:$M,MATCH(tbAREAS[[#This Row],[TIPO DE ÁREA]],PRODUTIVIDADES!$B:$B,0)+MATCH(tbAREAS[[#This Row],[LOCALIDADE]],PRODUTIVIDADES!$A:$A,0)-3)*tbAREAS[[#This Row],[ÁREA EM M²]]</f>
        <v>722.33600000000001</v>
      </c>
      <c r="L667" s="391"/>
    </row>
    <row r="668" spans="1:12" hidden="1" x14ac:dyDescent="0.25">
      <c r="A668" s="228" t="s">
        <v>2</v>
      </c>
      <c r="B668" s="234" t="s">
        <v>288</v>
      </c>
      <c r="C668" s="230" t="s">
        <v>290</v>
      </c>
      <c r="D668" s="230" t="s">
        <v>289</v>
      </c>
      <c r="E668" s="229" t="s">
        <v>9</v>
      </c>
      <c r="F668" s="231">
        <v>2515.4899999999998</v>
      </c>
      <c r="G668" s="229" t="s">
        <v>1</v>
      </c>
      <c r="H668" s="405">
        <f ca="1">INDEX(PRODUTIVIDADES!$M:$M,MATCH(tbAREAS[[#This Row],[TIPO DE ÁREA]],PRODUTIVIDADES!$B:$B,0)+MATCH(tbAREAS[[#This Row],[LOCALIDADE]],PRODUTIVIDADES!$A:$A,0)-3)*tbAREAS[[#This Row],[ÁREA EM M²]]</f>
        <v>19620.821999999996</v>
      </c>
      <c r="L668" s="391"/>
    </row>
    <row r="669" spans="1:12" hidden="1" x14ac:dyDescent="0.25">
      <c r="A669" s="228" t="s">
        <v>2</v>
      </c>
      <c r="B669" s="234" t="s">
        <v>288</v>
      </c>
      <c r="C669" s="230" t="s">
        <v>290</v>
      </c>
      <c r="D669" s="230" t="s">
        <v>289</v>
      </c>
      <c r="E669" s="229" t="s">
        <v>10</v>
      </c>
      <c r="F669" s="231">
        <v>796.75</v>
      </c>
      <c r="G669" s="229" t="s">
        <v>1</v>
      </c>
      <c r="H669" s="405">
        <f ca="1">INDEX(PRODUTIVIDADES!$M:$M,MATCH(tbAREAS[[#This Row],[TIPO DE ÁREA]],PRODUTIVIDADES!$B:$B,0)+MATCH(tbAREAS[[#This Row],[LOCALIDADE]],PRODUTIVIDADES!$A:$A,0)-3)*tbAREAS[[#This Row],[ÁREA EM M²]]</f>
        <v>2485.86</v>
      </c>
      <c r="L669" s="391"/>
    </row>
    <row r="670" spans="1:12" hidden="1" x14ac:dyDescent="0.25">
      <c r="A670" s="228" t="s">
        <v>2</v>
      </c>
      <c r="B670" s="234" t="s">
        <v>288</v>
      </c>
      <c r="C670" s="230" t="s">
        <v>290</v>
      </c>
      <c r="D670" s="230" t="s">
        <v>289</v>
      </c>
      <c r="E670" s="229" t="s">
        <v>17</v>
      </c>
      <c r="F670" s="231">
        <v>1852.67</v>
      </c>
      <c r="G670" s="229" t="s">
        <v>1</v>
      </c>
      <c r="H670" s="405">
        <f ca="1">INDEX(PRODUTIVIDADES!$M:$M,MATCH(tbAREAS[[#This Row],[TIPO DE ÁREA]],PRODUTIVIDADES!$B:$B,0)+MATCH(tbAREAS[[#This Row],[LOCALIDADE]],PRODUTIVIDADES!$A:$A,0)-3)*tbAREAS[[#This Row],[ÁREA EM M²]]</f>
        <v>4335.2478000000001</v>
      </c>
      <c r="L670" s="391"/>
    </row>
    <row r="671" spans="1:12" hidden="1" x14ac:dyDescent="0.25">
      <c r="A671" s="228" t="s">
        <v>2</v>
      </c>
      <c r="B671" s="234" t="s">
        <v>288</v>
      </c>
      <c r="C671" s="230" t="s">
        <v>290</v>
      </c>
      <c r="D671" s="230" t="s">
        <v>289</v>
      </c>
      <c r="E671" s="229" t="s">
        <v>18</v>
      </c>
      <c r="F671" s="231">
        <v>204.65</v>
      </c>
      <c r="G671" s="229" t="s">
        <v>1</v>
      </c>
      <c r="H671" s="405">
        <f ca="1">INDEX(PRODUTIVIDADES!$M:$M,MATCH(tbAREAS[[#This Row],[TIPO DE ÁREA]],PRODUTIVIDADES!$B:$B,0)+MATCH(tbAREAS[[#This Row],[LOCALIDADE]],PRODUTIVIDADES!$A:$A,0)-3)*tbAREAS[[#This Row],[ÁREA EM M²]]</f>
        <v>9280.8775000000005</v>
      </c>
      <c r="L671" s="391"/>
    </row>
    <row r="672" spans="1:12" hidden="1" x14ac:dyDescent="0.25">
      <c r="A672" s="228" t="s">
        <v>2</v>
      </c>
      <c r="B672" s="234" t="s">
        <v>288</v>
      </c>
      <c r="C672" s="230" t="s">
        <v>290</v>
      </c>
      <c r="D672" s="230" t="s">
        <v>289</v>
      </c>
      <c r="E672" s="229" t="s">
        <v>20</v>
      </c>
      <c r="F672" s="231">
        <v>41.75</v>
      </c>
      <c r="G672" s="229" t="s">
        <v>1</v>
      </c>
      <c r="H672" s="405">
        <f ca="1">INDEX(PRODUTIVIDADES!$M:$M,MATCH(tbAREAS[[#This Row],[TIPO DE ÁREA]],PRODUTIVIDADES!$B:$B,0)+MATCH(tbAREAS[[#This Row],[LOCALIDADE]],PRODUTIVIDADES!$A:$A,0)-3)*tbAREAS[[#This Row],[ÁREA EM M²]]</f>
        <v>32.564999999999998</v>
      </c>
      <c r="L672" s="391"/>
    </row>
    <row r="673" spans="1:12" hidden="1" x14ac:dyDescent="0.25">
      <c r="A673" s="228" t="s">
        <v>2</v>
      </c>
      <c r="B673" s="234" t="s">
        <v>288</v>
      </c>
      <c r="C673" s="230" t="s">
        <v>290</v>
      </c>
      <c r="D673" s="230" t="s">
        <v>289</v>
      </c>
      <c r="E673" s="229" t="s">
        <v>21</v>
      </c>
      <c r="F673" s="231">
        <v>802.13</v>
      </c>
      <c r="G673" s="229" t="s">
        <v>1</v>
      </c>
      <c r="H673" s="405">
        <f ca="1">INDEX(PRODUTIVIDADES!$M:$M,MATCH(tbAREAS[[#This Row],[TIPO DE ÁREA]],PRODUTIVIDADES!$B:$B,0)+MATCH(tbAREAS[[#This Row],[LOCALIDADE]],PRODUTIVIDADES!$A:$A,0)-3)*tbAREAS[[#This Row],[ÁREA EM M²]]</f>
        <v>136.3621</v>
      </c>
      <c r="L673" s="391"/>
    </row>
    <row r="674" spans="1:12" hidden="1" x14ac:dyDescent="0.25">
      <c r="A674" s="228" t="s">
        <v>2</v>
      </c>
      <c r="B674" s="234" t="s">
        <v>288</v>
      </c>
      <c r="C674" s="230" t="s">
        <v>290</v>
      </c>
      <c r="D674" s="230" t="s">
        <v>289</v>
      </c>
      <c r="E674" s="229" t="s">
        <v>22</v>
      </c>
      <c r="F674" s="231">
        <v>802.13</v>
      </c>
      <c r="G674" s="229" t="s">
        <v>1</v>
      </c>
      <c r="H674" s="405">
        <f ca="1">INDEX(PRODUTIVIDADES!$M:$M,MATCH(tbAREAS[[#This Row],[TIPO DE ÁREA]],PRODUTIVIDADES!$B:$B,0)+MATCH(tbAREAS[[#This Row],[LOCALIDADE]],PRODUTIVIDADES!$A:$A,0)-3)*tbAREAS[[#This Row],[ÁREA EM M²]]</f>
        <v>320.85200000000003</v>
      </c>
      <c r="L674" s="391"/>
    </row>
    <row r="675" spans="1:12" hidden="1" x14ac:dyDescent="0.25">
      <c r="A675" s="228" t="s">
        <v>2</v>
      </c>
      <c r="B675" s="234" t="s">
        <v>88</v>
      </c>
      <c r="C675" s="230" t="s">
        <v>89</v>
      </c>
      <c r="D675" s="230" t="s">
        <v>90</v>
      </c>
      <c r="E675" s="229" t="s">
        <v>9</v>
      </c>
      <c r="F675" s="231">
        <v>942.9</v>
      </c>
      <c r="G675" s="229" t="s">
        <v>1</v>
      </c>
      <c r="H675" s="405">
        <f ca="1">INDEX(PRODUTIVIDADES!$M:$M,MATCH(tbAREAS[[#This Row],[TIPO DE ÁREA]],PRODUTIVIDADES!$B:$B,0)+MATCH(tbAREAS[[#This Row],[LOCALIDADE]],PRODUTIVIDADES!$A:$A,0)-3)*tbAREAS[[#This Row],[ÁREA EM M²]]</f>
        <v>7354.62</v>
      </c>
      <c r="L675" s="391"/>
    </row>
    <row r="676" spans="1:12" hidden="1" x14ac:dyDescent="0.25">
      <c r="A676" s="228" t="s">
        <v>2</v>
      </c>
      <c r="B676" s="234" t="s">
        <v>88</v>
      </c>
      <c r="C676" s="230" t="s">
        <v>89</v>
      </c>
      <c r="D676" s="230" t="s">
        <v>90</v>
      </c>
      <c r="E676" s="229" t="s">
        <v>10</v>
      </c>
      <c r="F676" s="231">
        <v>1756.23</v>
      </c>
      <c r="G676" s="229" t="s">
        <v>1</v>
      </c>
      <c r="H676" s="405">
        <f ca="1">INDEX(PRODUTIVIDADES!$M:$M,MATCH(tbAREAS[[#This Row],[TIPO DE ÁREA]],PRODUTIVIDADES!$B:$B,0)+MATCH(tbAREAS[[#This Row],[LOCALIDADE]],PRODUTIVIDADES!$A:$A,0)-3)*tbAREAS[[#This Row],[ÁREA EM M²]]</f>
        <v>5479.4376000000002</v>
      </c>
      <c r="L676" s="391"/>
    </row>
    <row r="677" spans="1:12" hidden="1" x14ac:dyDescent="0.25">
      <c r="A677" s="228" t="s">
        <v>2</v>
      </c>
      <c r="B677" s="234" t="s">
        <v>88</v>
      </c>
      <c r="C677" s="230" t="s">
        <v>89</v>
      </c>
      <c r="D677" s="230" t="s">
        <v>90</v>
      </c>
      <c r="E677" s="229" t="s">
        <v>14</v>
      </c>
      <c r="F677" s="231">
        <v>600.6</v>
      </c>
      <c r="G677" s="229" t="s">
        <v>1</v>
      </c>
      <c r="H677" s="405">
        <f ca="1">INDEX(PRODUTIVIDADES!$M:$M,MATCH(tbAREAS[[#This Row],[TIPO DE ÁREA]],PRODUTIVIDADES!$B:$B,0)+MATCH(tbAREAS[[#This Row],[LOCALIDADE]],PRODUTIVIDADES!$A:$A,0)-3)*tbAREAS[[#This Row],[ÁREA EM M²]]</f>
        <v>5105.1000000000004</v>
      </c>
      <c r="L677" s="391"/>
    </row>
    <row r="678" spans="1:12" hidden="1" x14ac:dyDescent="0.25">
      <c r="A678" s="228" t="s">
        <v>2</v>
      </c>
      <c r="B678" s="234" t="s">
        <v>88</v>
      </c>
      <c r="C678" s="230" t="s">
        <v>89</v>
      </c>
      <c r="D678" s="230" t="s">
        <v>90</v>
      </c>
      <c r="E678" s="229" t="s">
        <v>15</v>
      </c>
      <c r="F678" s="231">
        <v>678.78</v>
      </c>
      <c r="G678" s="229" t="s">
        <v>1</v>
      </c>
      <c r="H678" s="405">
        <f ca="1">INDEX(PRODUTIVIDADES!$M:$M,MATCH(tbAREAS[[#This Row],[TIPO DE ÁREA]],PRODUTIVIDADES!$B:$B,0)+MATCH(tbAREAS[[#This Row],[LOCALIDADE]],PRODUTIVIDADES!$A:$A,0)-3)*tbAREAS[[#This Row],[ÁREA EM M²]]</f>
        <v>468.35819999999995</v>
      </c>
      <c r="L678" s="391"/>
    </row>
    <row r="679" spans="1:12" hidden="1" x14ac:dyDescent="0.25">
      <c r="A679" s="228" t="s">
        <v>2</v>
      </c>
      <c r="B679" s="234" t="s">
        <v>88</v>
      </c>
      <c r="C679" s="230" t="s">
        <v>89</v>
      </c>
      <c r="D679" s="230" t="s">
        <v>90</v>
      </c>
      <c r="E679" s="229" t="s">
        <v>17</v>
      </c>
      <c r="F679" s="231">
        <v>1101.44</v>
      </c>
      <c r="G679" s="229" t="s">
        <v>1</v>
      </c>
      <c r="H679" s="405">
        <f ca="1">INDEX(PRODUTIVIDADES!$M:$M,MATCH(tbAREAS[[#This Row],[TIPO DE ÁREA]],PRODUTIVIDADES!$B:$B,0)+MATCH(tbAREAS[[#This Row],[LOCALIDADE]],PRODUTIVIDADES!$A:$A,0)-3)*tbAREAS[[#This Row],[ÁREA EM M²]]</f>
        <v>2577.3696</v>
      </c>
      <c r="L679" s="391"/>
    </row>
    <row r="680" spans="1:12" hidden="1" x14ac:dyDescent="0.25">
      <c r="A680" s="228" t="s">
        <v>2</v>
      </c>
      <c r="B680" s="234" t="s">
        <v>88</v>
      </c>
      <c r="C680" s="230" t="s">
        <v>89</v>
      </c>
      <c r="D680" s="230" t="s">
        <v>90</v>
      </c>
      <c r="E680" s="229" t="s">
        <v>18</v>
      </c>
      <c r="F680" s="231">
        <v>270.72000000000003</v>
      </c>
      <c r="G680" s="229" t="s">
        <v>1</v>
      </c>
      <c r="H680" s="405">
        <f ca="1">INDEX(PRODUTIVIDADES!$M:$M,MATCH(tbAREAS[[#This Row],[TIPO DE ÁREA]],PRODUTIVIDADES!$B:$B,0)+MATCH(tbAREAS[[#This Row],[LOCALIDADE]],PRODUTIVIDADES!$A:$A,0)-3)*tbAREAS[[#This Row],[ÁREA EM M²]]</f>
        <v>12277.152000000002</v>
      </c>
      <c r="L680" s="391"/>
    </row>
    <row r="681" spans="1:12" hidden="1" x14ac:dyDescent="0.25">
      <c r="A681" s="228" t="s">
        <v>2</v>
      </c>
      <c r="B681" s="234" t="s">
        <v>88</v>
      </c>
      <c r="C681" s="230" t="s">
        <v>89</v>
      </c>
      <c r="D681" s="230" t="s">
        <v>90</v>
      </c>
      <c r="E681" s="229" t="s">
        <v>20</v>
      </c>
      <c r="F681" s="231">
        <v>2818.88</v>
      </c>
      <c r="G681" s="229" t="s">
        <v>1</v>
      </c>
      <c r="H681" s="405">
        <f ca="1">INDEX(PRODUTIVIDADES!$M:$M,MATCH(tbAREAS[[#This Row],[TIPO DE ÁREA]],PRODUTIVIDADES!$B:$B,0)+MATCH(tbAREAS[[#This Row],[LOCALIDADE]],PRODUTIVIDADES!$A:$A,0)-3)*tbAREAS[[#This Row],[ÁREA EM M²]]</f>
        <v>2198.7264</v>
      </c>
      <c r="L681" s="391"/>
    </row>
    <row r="682" spans="1:12" hidden="1" x14ac:dyDescent="0.25">
      <c r="A682" s="228" t="s">
        <v>2</v>
      </c>
      <c r="B682" s="234" t="s">
        <v>88</v>
      </c>
      <c r="C682" s="230" t="s">
        <v>89</v>
      </c>
      <c r="D682" s="230" t="s">
        <v>90</v>
      </c>
      <c r="E682" s="229" t="s">
        <v>21</v>
      </c>
      <c r="F682" s="231">
        <v>578.36</v>
      </c>
      <c r="G682" s="229" t="s">
        <v>1</v>
      </c>
      <c r="H682" s="405">
        <f ca="1">INDEX(PRODUTIVIDADES!$M:$M,MATCH(tbAREAS[[#This Row],[TIPO DE ÁREA]],PRODUTIVIDADES!$B:$B,0)+MATCH(tbAREAS[[#This Row],[LOCALIDADE]],PRODUTIVIDADES!$A:$A,0)-3)*tbAREAS[[#This Row],[ÁREA EM M²]]</f>
        <v>98.321200000000005</v>
      </c>
      <c r="L682" s="391"/>
    </row>
    <row r="683" spans="1:12" hidden="1" x14ac:dyDescent="0.25">
      <c r="A683" s="228" t="s">
        <v>2</v>
      </c>
      <c r="B683" s="234" t="s">
        <v>88</v>
      </c>
      <c r="C683" s="230" t="s">
        <v>89</v>
      </c>
      <c r="D683" s="230" t="s">
        <v>90</v>
      </c>
      <c r="E683" s="229" t="s">
        <v>22</v>
      </c>
      <c r="F683" s="231">
        <v>578.36</v>
      </c>
      <c r="G683" s="229" t="s">
        <v>1</v>
      </c>
      <c r="H683" s="405">
        <f ca="1">INDEX(PRODUTIVIDADES!$M:$M,MATCH(tbAREAS[[#This Row],[TIPO DE ÁREA]],PRODUTIVIDADES!$B:$B,0)+MATCH(tbAREAS[[#This Row],[LOCALIDADE]],PRODUTIVIDADES!$A:$A,0)-3)*tbAREAS[[#This Row],[ÁREA EM M²]]</f>
        <v>231.34400000000002</v>
      </c>
      <c r="L683" s="391"/>
    </row>
    <row r="684" spans="1:12" hidden="1" x14ac:dyDescent="0.25">
      <c r="A684" s="228" t="s">
        <v>2</v>
      </c>
      <c r="B684" s="234" t="s">
        <v>88</v>
      </c>
      <c r="C684" s="230" t="s">
        <v>291</v>
      </c>
      <c r="D684" s="230" t="s">
        <v>292</v>
      </c>
      <c r="E684" s="229" t="s">
        <v>10</v>
      </c>
      <c r="F684" s="231">
        <v>6.05</v>
      </c>
      <c r="G684" s="229" t="s">
        <v>1</v>
      </c>
      <c r="H684" s="405">
        <f ca="1">INDEX(PRODUTIVIDADES!$M:$M,MATCH(tbAREAS[[#This Row],[TIPO DE ÁREA]],PRODUTIVIDADES!$B:$B,0)+MATCH(tbAREAS[[#This Row],[LOCALIDADE]],PRODUTIVIDADES!$A:$A,0)-3)*tbAREAS[[#This Row],[ÁREA EM M²]]</f>
        <v>18.876000000000001</v>
      </c>
      <c r="L684" s="391"/>
    </row>
    <row r="685" spans="1:12" hidden="1" x14ac:dyDescent="0.25">
      <c r="A685" s="228" t="s">
        <v>2</v>
      </c>
      <c r="B685" s="234" t="s">
        <v>88</v>
      </c>
      <c r="C685" s="230" t="s">
        <v>291</v>
      </c>
      <c r="D685" s="230" t="s">
        <v>292</v>
      </c>
      <c r="E685" s="229" t="s">
        <v>15</v>
      </c>
      <c r="F685" s="231">
        <v>7.56</v>
      </c>
      <c r="G685" s="229" t="s">
        <v>1</v>
      </c>
      <c r="H685" s="405">
        <f ca="1">INDEX(PRODUTIVIDADES!$M:$M,MATCH(tbAREAS[[#This Row],[TIPO DE ÁREA]],PRODUTIVIDADES!$B:$B,0)+MATCH(tbAREAS[[#This Row],[LOCALIDADE]],PRODUTIVIDADES!$A:$A,0)-3)*tbAREAS[[#This Row],[ÁREA EM M²]]</f>
        <v>5.2163999999999993</v>
      </c>
      <c r="L685" s="391"/>
    </row>
    <row r="686" spans="1:12" hidden="1" x14ac:dyDescent="0.25">
      <c r="A686" s="228" t="s">
        <v>2</v>
      </c>
      <c r="B686" s="234" t="s">
        <v>88</v>
      </c>
      <c r="C686" s="230" t="s">
        <v>291</v>
      </c>
      <c r="D686" s="230" t="s">
        <v>292</v>
      </c>
      <c r="E686" s="229" t="s">
        <v>17</v>
      </c>
      <c r="F686" s="231">
        <v>241.03</v>
      </c>
      <c r="G686" s="229" t="s">
        <v>1</v>
      </c>
      <c r="H686" s="405">
        <f ca="1">INDEX(PRODUTIVIDADES!$M:$M,MATCH(tbAREAS[[#This Row],[TIPO DE ÁREA]],PRODUTIVIDADES!$B:$B,0)+MATCH(tbAREAS[[#This Row],[LOCALIDADE]],PRODUTIVIDADES!$A:$A,0)-3)*tbAREAS[[#This Row],[ÁREA EM M²]]</f>
        <v>564.01019999999994</v>
      </c>
      <c r="L686" s="391"/>
    </row>
    <row r="687" spans="1:12" hidden="1" x14ac:dyDescent="0.25">
      <c r="A687" s="228" t="s">
        <v>2</v>
      </c>
      <c r="B687" s="234" t="s">
        <v>88</v>
      </c>
      <c r="C687" s="230" t="s">
        <v>291</v>
      </c>
      <c r="D687" s="230" t="s">
        <v>292</v>
      </c>
      <c r="E687" s="229" t="s">
        <v>18</v>
      </c>
      <c r="F687" s="231">
        <v>29.59</v>
      </c>
      <c r="G687" s="229" t="s">
        <v>1</v>
      </c>
      <c r="H687" s="405">
        <f ca="1">INDEX(PRODUTIVIDADES!$M:$M,MATCH(tbAREAS[[#This Row],[TIPO DE ÁREA]],PRODUTIVIDADES!$B:$B,0)+MATCH(tbAREAS[[#This Row],[LOCALIDADE]],PRODUTIVIDADES!$A:$A,0)-3)*tbAREAS[[#This Row],[ÁREA EM M²]]</f>
        <v>1341.9065000000001</v>
      </c>
      <c r="L687" s="391"/>
    </row>
    <row r="688" spans="1:12" hidden="1" x14ac:dyDescent="0.25">
      <c r="A688" s="228" t="s">
        <v>2</v>
      </c>
      <c r="B688" s="234" t="s">
        <v>88</v>
      </c>
      <c r="C688" s="230" t="s">
        <v>291</v>
      </c>
      <c r="D688" s="230" t="s">
        <v>292</v>
      </c>
      <c r="E688" s="229" t="s">
        <v>20</v>
      </c>
      <c r="F688" s="231">
        <v>55.83</v>
      </c>
      <c r="G688" s="229" t="s">
        <v>1</v>
      </c>
      <c r="H688" s="405">
        <f ca="1">INDEX(PRODUTIVIDADES!$M:$M,MATCH(tbAREAS[[#This Row],[TIPO DE ÁREA]],PRODUTIVIDADES!$B:$B,0)+MATCH(tbAREAS[[#This Row],[LOCALIDADE]],PRODUTIVIDADES!$A:$A,0)-3)*tbAREAS[[#This Row],[ÁREA EM M²]]</f>
        <v>43.547400000000003</v>
      </c>
      <c r="L688" s="391"/>
    </row>
    <row r="689" spans="1:12" hidden="1" x14ac:dyDescent="0.25">
      <c r="A689" s="228" t="s">
        <v>2</v>
      </c>
      <c r="B689" s="234" t="s">
        <v>88</v>
      </c>
      <c r="C689" s="230" t="s">
        <v>291</v>
      </c>
      <c r="D689" s="230" t="s">
        <v>292</v>
      </c>
      <c r="E689" s="229" t="s">
        <v>21</v>
      </c>
      <c r="F689" s="231">
        <v>154.35</v>
      </c>
      <c r="G689" s="229" t="s">
        <v>1</v>
      </c>
      <c r="H689" s="405">
        <f ca="1">INDEX(PRODUTIVIDADES!$M:$M,MATCH(tbAREAS[[#This Row],[TIPO DE ÁREA]],PRODUTIVIDADES!$B:$B,0)+MATCH(tbAREAS[[#This Row],[LOCALIDADE]],PRODUTIVIDADES!$A:$A,0)-3)*tbAREAS[[#This Row],[ÁREA EM M²]]</f>
        <v>26.2395</v>
      </c>
      <c r="L689" s="391"/>
    </row>
    <row r="690" spans="1:12" hidden="1" x14ac:dyDescent="0.25">
      <c r="A690" s="228" t="s">
        <v>2</v>
      </c>
      <c r="B690" s="234" t="s">
        <v>88</v>
      </c>
      <c r="C690" s="230" t="s">
        <v>291</v>
      </c>
      <c r="D690" s="230" t="s">
        <v>292</v>
      </c>
      <c r="E690" s="229" t="s">
        <v>22</v>
      </c>
      <c r="F690" s="231">
        <v>154.35</v>
      </c>
      <c r="G690" s="229" t="s">
        <v>1</v>
      </c>
      <c r="H690" s="405">
        <f ca="1">INDEX(PRODUTIVIDADES!$M:$M,MATCH(tbAREAS[[#This Row],[TIPO DE ÁREA]],PRODUTIVIDADES!$B:$B,0)+MATCH(tbAREAS[[#This Row],[LOCALIDADE]],PRODUTIVIDADES!$A:$A,0)-3)*tbAREAS[[#This Row],[ÁREA EM M²]]</f>
        <v>61.74</v>
      </c>
      <c r="L690" s="391"/>
    </row>
    <row r="691" spans="1:12" hidden="1" x14ac:dyDescent="0.25">
      <c r="A691" s="228" t="s">
        <v>2</v>
      </c>
      <c r="B691" s="234" t="s">
        <v>88</v>
      </c>
      <c r="C691" s="230" t="s">
        <v>293</v>
      </c>
      <c r="D691" s="230" t="s">
        <v>294</v>
      </c>
      <c r="E691" s="229" t="s">
        <v>9</v>
      </c>
      <c r="F691" s="231">
        <v>435.51</v>
      </c>
      <c r="G691" s="229" t="s">
        <v>1</v>
      </c>
      <c r="H691" s="405">
        <f ca="1">INDEX(PRODUTIVIDADES!$M:$M,MATCH(tbAREAS[[#This Row],[TIPO DE ÁREA]],PRODUTIVIDADES!$B:$B,0)+MATCH(tbAREAS[[#This Row],[LOCALIDADE]],PRODUTIVIDADES!$A:$A,0)-3)*tbAREAS[[#This Row],[ÁREA EM M²]]</f>
        <v>3396.9780000000001</v>
      </c>
      <c r="L691" s="391"/>
    </row>
    <row r="692" spans="1:12" hidden="1" x14ac:dyDescent="0.25">
      <c r="A692" s="228" t="s">
        <v>2</v>
      </c>
      <c r="B692" s="234" t="s">
        <v>88</v>
      </c>
      <c r="C692" s="230" t="s">
        <v>293</v>
      </c>
      <c r="D692" s="230" t="s">
        <v>294</v>
      </c>
      <c r="E692" s="229" t="s">
        <v>10</v>
      </c>
      <c r="F692" s="231">
        <v>37.840000000000003</v>
      </c>
      <c r="G692" s="229" t="s">
        <v>1</v>
      </c>
      <c r="H692" s="405">
        <f ca="1">INDEX(PRODUTIVIDADES!$M:$M,MATCH(tbAREAS[[#This Row],[TIPO DE ÁREA]],PRODUTIVIDADES!$B:$B,0)+MATCH(tbAREAS[[#This Row],[LOCALIDADE]],PRODUTIVIDADES!$A:$A,0)-3)*tbAREAS[[#This Row],[ÁREA EM M²]]</f>
        <v>118.06080000000001</v>
      </c>
      <c r="L692" s="391"/>
    </row>
    <row r="693" spans="1:12" hidden="1" x14ac:dyDescent="0.25">
      <c r="A693" s="228" t="s">
        <v>2</v>
      </c>
      <c r="B693" s="234" t="s">
        <v>88</v>
      </c>
      <c r="C693" s="230" t="s">
        <v>293</v>
      </c>
      <c r="D693" s="230" t="s">
        <v>294</v>
      </c>
      <c r="E693" s="229" t="s">
        <v>15</v>
      </c>
      <c r="F693" s="231">
        <v>21.82</v>
      </c>
      <c r="G693" s="229" t="s">
        <v>1</v>
      </c>
      <c r="H693" s="405">
        <f ca="1">INDEX(PRODUTIVIDADES!$M:$M,MATCH(tbAREAS[[#This Row],[TIPO DE ÁREA]],PRODUTIVIDADES!$B:$B,0)+MATCH(tbAREAS[[#This Row],[LOCALIDADE]],PRODUTIVIDADES!$A:$A,0)-3)*tbAREAS[[#This Row],[ÁREA EM M²]]</f>
        <v>15.0558</v>
      </c>
      <c r="L693" s="391"/>
    </row>
    <row r="694" spans="1:12" hidden="1" x14ac:dyDescent="0.25">
      <c r="A694" s="228" t="s">
        <v>2</v>
      </c>
      <c r="B694" s="234" t="s">
        <v>88</v>
      </c>
      <c r="C694" s="230" t="s">
        <v>293</v>
      </c>
      <c r="D694" s="230" t="s">
        <v>294</v>
      </c>
      <c r="E694" s="229" t="s">
        <v>17</v>
      </c>
      <c r="F694" s="231">
        <v>105.44</v>
      </c>
      <c r="G694" s="229" t="s">
        <v>1</v>
      </c>
      <c r="H694" s="405">
        <f ca="1">INDEX(PRODUTIVIDADES!$M:$M,MATCH(tbAREAS[[#This Row],[TIPO DE ÁREA]],PRODUTIVIDADES!$B:$B,0)+MATCH(tbAREAS[[#This Row],[LOCALIDADE]],PRODUTIVIDADES!$A:$A,0)-3)*tbAREAS[[#This Row],[ÁREA EM M²]]</f>
        <v>246.72959999999998</v>
      </c>
      <c r="L694" s="391"/>
    </row>
    <row r="695" spans="1:12" hidden="1" x14ac:dyDescent="0.25">
      <c r="A695" s="228" t="s">
        <v>2</v>
      </c>
      <c r="B695" s="234" t="s">
        <v>88</v>
      </c>
      <c r="C695" s="230" t="s">
        <v>293</v>
      </c>
      <c r="D695" s="230" t="s">
        <v>294</v>
      </c>
      <c r="E695" s="229" t="s">
        <v>18</v>
      </c>
      <c r="F695" s="231">
        <v>47.28</v>
      </c>
      <c r="G695" s="229" t="s">
        <v>1</v>
      </c>
      <c r="H695" s="405">
        <f ca="1">INDEX(PRODUTIVIDADES!$M:$M,MATCH(tbAREAS[[#This Row],[TIPO DE ÁREA]],PRODUTIVIDADES!$B:$B,0)+MATCH(tbAREAS[[#This Row],[LOCALIDADE]],PRODUTIVIDADES!$A:$A,0)-3)*tbAREAS[[#This Row],[ÁREA EM M²]]</f>
        <v>2144.1480000000001</v>
      </c>
      <c r="L695" s="391"/>
    </row>
    <row r="696" spans="1:12" hidden="1" x14ac:dyDescent="0.25">
      <c r="A696" s="228" t="s">
        <v>2</v>
      </c>
      <c r="B696" s="234" t="s">
        <v>88</v>
      </c>
      <c r="C696" s="230" t="s">
        <v>293</v>
      </c>
      <c r="D696" s="230" t="s">
        <v>294</v>
      </c>
      <c r="E696" s="229" t="s">
        <v>21</v>
      </c>
      <c r="F696" s="231">
        <v>33.32</v>
      </c>
      <c r="G696" s="229" t="s">
        <v>1</v>
      </c>
      <c r="H696" s="405">
        <f ca="1">INDEX(PRODUTIVIDADES!$M:$M,MATCH(tbAREAS[[#This Row],[TIPO DE ÁREA]],PRODUTIVIDADES!$B:$B,0)+MATCH(tbAREAS[[#This Row],[LOCALIDADE]],PRODUTIVIDADES!$A:$A,0)-3)*tbAREAS[[#This Row],[ÁREA EM M²]]</f>
        <v>5.6644000000000005</v>
      </c>
      <c r="L696" s="391"/>
    </row>
    <row r="697" spans="1:12" hidden="1" x14ac:dyDescent="0.25">
      <c r="A697" s="228" t="s">
        <v>2</v>
      </c>
      <c r="B697" s="234" t="s">
        <v>88</v>
      </c>
      <c r="C697" s="230" t="s">
        <v>293</v>
      </c>
      <c r="D697" s="230" t="s">
        <v>294</v>
      </c>
      <c r="E697" s="229" t="s">
        <v>22</v>
      </c>
      <c r="F697" s="231">
        <v>33.32</v>
      </c>
      <c r="G697" s="229" t="s">
        <v>1</v>
      </c>
      <c r="H697" s="405">
        <f ca="1">INDEX(PRODUTIVIDADES!$M:$M,MATCH(tbAREAS[[#This Row],[TIPO DE ÁREA]],PRODUTIVIDADES!$B:$B,0)+MATCH(tbAREAS[[#This Row],[LOCALIDADE]],PRODUTIVIDADES!$A:$A,0)-3)*tbAREAS[[#This Row],[ÁREA EM M²]]</f>
        <v>13.328000000000001</v>
      </c>
      <c r="L697" s="391"/>
    </row>
    <row r="698" spans="1:12" hidden="1" x14ac:dyDescent="0.25">
      <c r="A698" s="228" t="s">
        <v>2</v>
      </c>
      <c r="B698" s="234" t="s">
        <v>88</v>
      </c>
      <c r="C698" s="230" t="s">
        <v>91</v>
      </c>
      <c r="D698" s="230" t="s">
        <v>295</v>
      </c>
      <c r="E698" s="229" t="s">
        <v>10</v>
      </c>
      <c r="F698" s="231">
        <v>44.54</v>
      </c>
      <c r="G698" s="229" t="s">
        <v>1</v>
      </c>
      <c r="H698" s="405">
        <f ca="1">INDEX(PRODUTIVIDADES!$M:$M,MATCH(tbAREAS[[#This Row],[TIPO DE ÁREA]],PRODUTIVIDADES!$B:$B,0)+MATCH(tbAREAS[[#This Row],[LOCALIDADE]],PRODUTIVIDADES!$A:$A,0)-3)*tbAREAS[[#This Row],[ÁREA EM M²]]</f>
        <v>138.9648</v>
      </c>
      <c r="L698" s="391"/>
    </row>
    <row r="699" spans="1:12" hidden="1" x14ac:dyDescent="0.25">
      <c r="A699" s="228" t="s">
        <v>2</v>
      </c>
      <c r="B699" s="234" t="s">
        <v>88</v>
      </c>
      <c r="C699" s="230" t="s">
        <v>91</v>
      </c>
      <c r="D699" s="230" t="s">
        <v>295</v>
      </c>
      <c r="E699" s="229" t="s">
        <v>17</v>
      </c>
      <c r="F699" s="231">
        <v>448.87</v>
      </c>
      <c r="G699" s="229" t="s">
        <v>1</v>
      </c>
      <c r="H699" s="405">
        <f ca="1">INDEX(PRODUTIVIDADES!$M:$M,MATCH(tbAREAS[[#This Row],[TIPO DE ÁREA]],PRODUTIVIDADES!$B:$B,0)+MATCH(tbAREAS[[#This Row],[LOCALIDADE]],PRODUTIVIDADES!$A:$A,0)-3)*tbAREAS[[#This Row],[ÁREA EM M²]]</f>
        <v>1050.3558</v>
      </c>
      <c r="L699" s="391"/>
    </row>
    <row r="700" spans="1:12" hidden="1" x14ac:dyDescent="0.25">
      <c r="A700" s="228" t="s">
        <v>2</v>
      </c>
      <c r="B700" s="234" t="s">
        <v>88</v>
      </c>
      <c r="C700" s="230" t="s">
        <v>91</v>
      </c>
      <c r="D700" s="230" t="s">
        <v>295</v>
      </c>
      <c r="E700" s="229" t="s">
        <v>18</v>
      </c>
      <c r="F700" s="231">
        <v>235.43</v>
      </c>
      <c r="G700" s="229" t="s">
        <v>1</v>
      </c>
      <c r="H700" s="405">
        <f ca="1">INDEX(PRODUTIVIDADES!$M:$M,MATCH(tbAREAS[[#This Row],[TIPO DE ÁREA]],PRODUTIVIDADES!$B:$B,0)+MATCH(tbAREAS[[#This Row],[LOCALIDADE]],PRODUTIVIDADES!$A:$A,0)-3)*tbAREAS[[#This Row],[ÁREA EM M²]]</f>
        <v>10676.7505</v>
      </c>
      <c r="L700" s="391"/>
    </row>
    <row r="701" spans="1:12" hidden="1" x14ac:dyDescent="0.25">
      <c r="A701" s="228" t="s">
        <v>2</v>
      </c>
      <c r="B701" s="234" t="s">
        <v>88</v>
      </c>
      <c r="C701" s="230" t="s">
        <v>91</v>
      </c>
      <c r="D701" s="230" t="s">
        <v>295</v>
      </c>
      <c r="E701" s="229" t="s">
        <v>21</v>
      </c>
      <c r="F701" s="231">
        <v>227.28</v>
      </c>
      <c r="G701" s="229" t="s">
        <v>1</v>
      </c>
      <c r="H701" s="405">
        <f ca="1">INDEX(PRODUTIVIDADES!$M:$M,MATCH(tbAREAS[[#This Row],[TIPO DE ÁREA]],PRODUTIVIDADES!$B:$B,0)+MATCH(tbAREAS[[#This Row],[LOCALIDADE]],PRODUTIVIDADES!$A:$A,0)-3)*tbAREAS[[#This Row],[ÁREA EM M²]]</f>
        <v>38.637600000000006</v>
      </c>
      <c r="L701" s="391"/>
    </row>
    <row r="702" spans="1:12" hidden="1" x14ac:dyDescent="0.25">
      <c r="A702" s="228" t="s">
        <v>2</v>
      </c>
      <c r="B702" s="234" t="s">
        <v>88</v>
      </c>
      <c r="C702" s="230" t="s">
        <v>91</v>
      </c>
      <c r="D702" s="230" t="s">
        <v>295</v>
      </c>
      <c r="E702" s="229" t="s">
        <v>22</v>
      </c>
      <c r="F702" s="231">
        <v>227.28</v>
      </c>
      <c r="G702" s="229" t="s">
        <v>1</v>
      </c>
      <c r="H702" s="405">
        <f ca="1">INDEX(PRODUTIVIDADES!$M:$M,MATCH(tbAREAS[[#This Row],[TIPO DE ÁREA]],PRODUTIVIDADES!$B:$B,0)+MATCH(tbAREAS[[#This Row],[LOCALIDADE]],PRODUTIVIDADES!$A:$A,0)-3)*tbAREAS[[#This Row],[ÁREA EM M²]]</f>
        <v>90.912000000000006</v>
      </c>
      <c r="L702" s="391"/>
    </row>
    <row r="703" spans="1:12" hidden="1" x14ac:dyDescent="0.25">
      <c r="A703" s="228" t="s">
        <v>2</v>
      </c>
      <c r="B703" s="234" t="s">
        <v>88</v>
      </c>
      <c r="C703" s="230" t="s">
        <v>296</v>
      </c>
      <c r="D703" s="230" t="s">
        <v>297</v>
      </c>
      <c r="E703" s="229" t="s">
        <v>17</v>
      </c>
      <c r="F703" s="231">
        <v>1073.6099999999999</v>
      </c>
      <c r="G703" s="229" t="s">
        <v>1</v>
      </c>
      <c r="H703" s="405">
        <f ca="1">INDEX(PRODUTIVIDADES!$M:$M,MATCH(tbAREAS[[#This Row],[TIPO DE ÁREA]],PRODUTIVIDADES!$B:$B,0)+MATCH(tbAREAS[[#This Row],[LOCALIDADE]],PRODUTIVIDADES!$A:$A,0)-3)*tbAREAS[[#This Row],[ÁREA EM M²]]</f>
        <v>2512.2473999999997</v>
      </c>
      <c r="L703" s="391"/>
    </row>
    <row r="704" spans="1:12" hidden="1" x14ac:dyDescent="0.25">
      <c r="A704" s="228" t="s">
        <v>2</v>
      </c>
      <c r="B704" s="234" t="s">
        <v>88</v>
      </c>
      <c r="C704" s="230" t="s">
        <v>296</v>
      </c>
      <c r="D704" s="230" t="s">
        <v>297</v>
      </c>
      <c r="E704" s="229" t="s">
        <v>18</v>
      </c>
      <c r="F704" s="231">
        <v>43.75</v>
      </c>
      <c r="G704" s="229" t="s">
        <v>1</v>
      </c>
      <c r="H704" s="405">
        <f ca="1">INDEX(PRODUTIVIDADES!$M:$M,MATCH(tbAREAS[[#This Row],[TIPO DE ÁREA]],PRODUTIVIDADES!$B:$B,0)+MATCH(tbAREAS[[#This Row],[LOCALIDADE]],PRODUTIVIDADES!$A:$A,0)-3)*tbAREAS[[#This Row],[ÁREA EM M²]]</f>
        <v>1984.0625</v>
      </c>
      <c r="L704" s="391"/>
    </row>
    <row r="705" spans="1:12" hidden="1" x14ac:dyDescent="0.25">
      <c r="A705" s="228" t="s">
        <v>2</v>
      </c>
      <c r="B705" s="234" t="s">
        <v>88</v>
      </c>
      <c r="C705" s="230" t="s">
        <v>296</v>
      </c>
      <c r="D705" s="230" t="s">
        <v>297</v>
      </c>
      <c r="E705" s="229" t="s">
        <v>21</v>
      </c>
      <c r="F705" s="231">
        <v>19.5</v>
      </c>
      <c r="G705" s="229" t="s">
        <v>1</v>
      </c>
      <c r="H705" s="405">
        <f ca="1">INDEX(PRODUTIVIDADES!$M:$M,MATCH(tbAREAS[[#This Row],[TIPO DE ÁREA]],PRODUTIVIDADES!$B:$B,0)+MATCH(tbAREAS[[#This Row],[LOCALIDADE]],PRODUTIVIDADES!$A:$A,0)-3)*tbAREAS[[#This Row],[ÁREA EM M²]]</f>
        <v>3.3150000000000004</v>
      </c>
      <c r="L705" s="391"/>
    </row>
    <row r="706" spans="1:12" hidden="1" x14ac:dyDescent="0.25">
      <c r="A706" s="228" t="s">
        <v>2</v>
      </c>
      <c r="B706" s="234" t="s">
        <v>88</v>
      </c>
      <c r="C706" s="230" t="s">
        <v>296</v>
      </c>
      <c r="D706" s="230" t="s">
        <v>297</v>
      </c>
      <c r="E706" s="229" t="s">
        <v>22</v>
      </c>
      <c r="F706" s="231">
        <v>19.5</v>
      </c>
      <c r="G706" s="229" t="s">
        <v>1</v>
      </c>
      <c r="H706" s="405">
        <f ca="1">INDEX(PRODUTIVIDADES!$M:$M,MATCH(tbAREAS[[#This Row],[TIPO DE ÁREA]],PRODUTIVIDADES!$B:$B,0)+MATCH(tbAREAS[[#This Row],[LOCALIDADE]],PRODUTIVIDADES!$A:$A,0)-3)*tbAREAS[[#This Row],[ÁREA EM M²]]</f>
        <v>7.8000000000000007</v>
      </c>
      <c r="L706" s="391"/>
    </row>
    <row r="707" spans="1:12" hidden="1" x14ac:dyDescent="0.25">
      <c r="A707" s="228" t="s">
        <v>2</v>
      </c>
      <c r="B707" s="234" t="s">
        <v>88</v>
      </c>
      <c r="C707" s="230" t="s">
        <v>298</v>
      </c>
      <c r="D707" s="230" t="s">
        <v>299</v>
      </c>
      <c r="E707" s="229" t="s">
        <v>17</v>
      </c>
      <c r="F707" s="231">
        <v>1480.06</v>
      </c>
      <c r="G707" s="229" t="s">
        <v>1</v>
      </c>
      <c r="H707" s="405">
        <f ca="1">INDEX(PRODUTIVIDADES!$M:$M,MATCH(tbAREAS[[#This Row],[TIPO DE ÁREA]],PRODUTIVIDADES!$B:$B,0)+MATCH(tbAREAS[[#This Row],[LOCALIDADE]],PRODUTIVIDADES!$A:$A,0)-3)*tbAREAS[[#This Row],[ÁREA EM M²]]</f>
        <v>3463.3403999999996</v>
      </c>
      <c r="L707" s="391"/>
    </row>
    <row r="708" spans="1:12" hidden="1" x14ac:dyDescent="0.25">
      <c r="A708" s="228" t="s">
        <v>2</v>
      </c>
      <c r="B708" s="234" t="s">
        <v>88</v>
      </c>
      <c r="C708" s="230" t="s">
        <v>298</v>
      </c>
      <c r="D708" s="230" t="s">
        <v>299</v>
      </c>
      <c r="E708" s="229" t="s">
        <v>21</v>
      </c>
      <c r="F708" s="231">
        <v>142.5</v>
      </c>
      <c r="G708" s="229" t="s">
        <v>1</v>
      </c>
      <c r="H708" s="405">
        <f ca="1">INDEX(PRODUTIVIDADES!$M:$M,MATCH(tbAREAS[[#This Row],[TIPO DE ÁREA]],PRODUTIVIDADES!$B:$B,0)+MATCH(tbAREAS[[#This Row],[LOCALIDADE]],PRODUTIVIDADES!$A:$A,0)-3)*tbAREAS[[#This Row],[ÁREA EM M²]]</f>
        <v>24.225000000000001</v>
      </c>
      <c r="L708" s="391"/>
    </row>
    <row r="709" spans="1:12" hidden="1" x14ac:dyDescent="0.25">
      <c r="A709" s="228" t="s">
        <v>2</v>
      </c>
      <c r="B709" s="234" t="s">
        <v>88</v>
      </c>
      <c r="C709" s="230" t="s">
        <v>298</v>
      </c>
      <c r="D709" s="230" t="s">
        <v>299</v>
      </c>
      <c r="E709" s="229" t="s">
        <v>22</v>
      </c>
      <c r="F709" s="231">
        <v>142.5</v>
      </c>
      <c r="G709" s="229" t="s">
        <v>1</v>
      </c>
      <c r="H709" s="405">
        <f ca="1">INDEX(PRODUTIVIDADES!$M:$M,MATCH(tbAREAS[[#This Row],[TIPO DE ÁREA]],PRODUTIVIDADES!$B:$B,0)+MATCH(tbAREAS[[#This Row],[LOCALIDADE]],PRODUTIVIDADES!$A:$A,0)-3)*tbAREAS[[#This Row],[ÁREA EM M²]]</f>
        <v>57</v>
      </c>
      <c r="L709" s="391"/>
    </row>
    <row r="710" spans="1:12" hidden="1" x14ac:dyDescent="0.25">
      <c r="A710" s="228" t="s">
        <v>2</v>
      </c>
      <c r="B710" s="234" t="s">
        <v>88</v>
      </c>
      <c r="C710" s="230" t="s">
        <v>300</v>
      </c>
      <c r="D710" s="230" t="s">
        <v>301</v>
      </c>
      <c r="E710" s="229" t="s">
        <v>9</v>
      </c>
      <c r="F710" s="231">
        <v>51.44</v>
      </c>
      <c r="G710" s="229" t="s">
        <v>1</v>
      </c>
      <c r="H710" s="405">
        <f ca="1">INDEX(PRODUTIVIDADES!$M:$M,MATCH(tbAREAS[[#This Row],[TIPO DE ÁREA]],PRODUTIVIDADES!$B:$B,0)+MATCH(tbAREAS[[#This Row],[LOCALIDADE]],PRODUTIVIDADES!$A:$A,0)-3)*tbAREAS[[#This Row],[ÁREA EM M²]]</f>
        <v>401.23199999999997</v>
      </c>
      <c r="L710" s="391"/>
    </row>
    <row r="711" spans="1:12" hidden="1" x14ac:dyDescent="0.25">
      <c r="A711" s="228" t="s">
        <v>2</v>
      </c>
      <c r="B711" s="234" t="s">
        <v>88</v>
      </c>
      <c r="C711" s="230" t="s">
        <v>300</v>
      </c>
      <c r="D711" s="230" t="s">
        <v>301</v>
      </c>
      <c r="E711" s="229" t="s">
        <v>17</v>
      </c>
      <c r="F711" s="231">
        <v>1575.81</v>
      </c>
      <c r="G711" s="229" t="s">
        <v>1</v>
      </c>
      <c r="H711" s="405">
        <f ca="1">INDEX(PRODUTIVIDADES!$M:$M,MATCH(tbAREAS[[#This Row],[TIPO DE ÁREA]],PRODUTIVIDADES!$B:$B,0)+MATCH(tbAREAS[[#This Row],[LOCALIDADE]],PRODUTIVIDADES!$A:$A,0)-3)*tbAREAS[[#This Row],[ÁREA EM M²]]</f>
        <v>3687.3953999999994</v>
      </c>
      <c r="L711" s="391"/>
    </row>
    <row r="712" spans="1:12" hidden="1" x14ac:dyDescent="0.25">
      <c r="A712" s="228" t="s">
        <v>2</v>
      </c>
      <c r="B712" s="234" t="s">
        <v>88</v>
      </c>
      <c r="C712" s="230" t="s">
        <v>300</v>
      </c>
      <c r="D712" s="230" t="s">
        <v>301</v>
      </c>
      <c r="E712" s="229" t="s">
        <v>18</v>
      </c>
      <c r="F712" s="231">
        <v>81.96</v>
      </c>
      <c r="G712" s="229" t="s">
        <v>1</v>
      </c>
      <c r="H712" s="405">
        <f ca="1">INDEX(PRODUTIVIDADES!$M:$M,MATCH(tbAREAS[[#This Row],[TIPO DE ÁREA]],PRODUTIVIDADES!$B:$B,0)+MATCH(tbAREAS[[#This Row],[LOCALIDADE]],PRODUTIVIDADES!$A:$A,0)-3)*tbAREAS[[#This Row],[ÁREA EM M²]]</f>
        <v>3716.886</v>
      </c>
      <c r="L712" s="391"/>
    </row>
    <row r="713" spans="1:12" hidden="1" x14ac:dyDescent="0.25">
      <c r="A713" s="228" t="s">
        <v>2</v>
      </c>
      <c r="B713" s="234" t="s">
        <v>88</v>
      </c>
      <c r="C713" s="230" t="s">
        <v>300</v>
      </c>
      <c r="D713" s="230" t="s">
        <v>301</v>
      </c>
      <c r="E713" s="229" t="s">
        <v>21</v>
      </c>
      <c r="F713" s="231">
        <v>167.5</v>
      </c>
      <c r="G713" s="229" t="s">
        <v>1</v>
      </c>
      <c r="H713" s="405">
        <f ca="1">INDEX(PRODUTIVIDADES!$M:$M,MATCH(tbAREAS[[#This Row],[TIPO DE ÁREA]],PRODUTIVIDADES!$B:$B,0)+MATCH(tbAREAS[[#This Row],[LOCALIDADE]],PRODUTIVIDADES!$A:$A,0)-3)*tbAREAS[[#This Row],[ÁREA EM M²]]</f>
        <v>28.475000000000001</v>
      </c>
      <c r="L713" s="391"/>
    </row>
    <row r="714" spans="1:12" hidden="1" x14ac:dyDescent="0.25">
      <c r="A714" s="228" t="s">
        <v>2</v>
      </c>
      <c r="B714" s="234" t="s">
        <v>88</v>
      </c>
      <c r="C714" s="230" t="s">
        <v>300</v>
      </c>
      <c r="D714" s="230" t="s">
        <v>301</v>
      </c>
      <c r="E714" s="229" t="s">
        <v>22</v>
      </c>
      <c r="F714" s="231">
        <v>167.5</v>
      </c>
      <c r="G714" s="229" t="s">
        <v>1</v>
      </c>
      <c r="H714" s="405">
        <f ca="1">INDEX(PRODUTIVIDADES!$M:$M,MATCH(tbAREAS[[#This Row],[TIPO DE ÁREA]],PRODUTIVIDADES!$B:$B,0)+MATCH(tbAREAS[[#This Row],[LOCALIDADE]],PRODUTIVIDADES!$A:$A,0)-3)*tbAREAS[[#This Row],[ÁREA EM M²]]</f>
        <v>67</v>
      </c>
      <c r="L714" s="391"/>
    </row>
    <row r="715" spans="1:12" hidden="1" x14ac:dyDescent="0.25">
      <c r="A715" s="228" t="s">
        <v>2</v>
      </c>
      <c r="B715" s="234" t="s">
        <v>82</v>
      </c>
      <c r="C715" s="230" t="s">
        <v>302</v>
      </c>
      <c r="D715" s="230" t="s">
        <v>303</v>
      </c>
      <c r="E715" s="229" t="s">
        <v>9</v>
      </c>
      <c r="F715" s="231">
        <v>1528.48</v>
      </c>
      <c r="G715" s="229" t="s">
        <v>1</v>
      </c>
      <c r="H715" s="405">
        <f ca="1">INDEX(PRODUTIVIDADES!$M:$M,MATCH(tbAREAS[[#This Row],[TIPO DE ÁREA]],PRODUTIVIDADES!$B:$B,0)+MATCH(tbAREAS[[#This Row],[LOCALIDADE]],PRODUTIVIDADES!$A:$A,0)-3)*tbAREAS[[#This Row],[ÁREA EM M²]]</f>
        <v>11922.144</v>
      </c>
      <c r="L715" s="391"/>
    </row>
    <row r="716" spans="1:12" hidden="1" x14ac:dyDescent="0.25">
      <c r="A716" s="228" t="s">
        <v>2</v>
      </c>
      <c r="B716" s="234" t="s">
        <v>82</v>
      </c>
      <c r="C716" s="230" t="s">
        <v>302</v>
      </c>
      <c r="D716" s="230" t="s">
        <v>303</v>
      </c>
      <c r="E716" s="229" t="s">
        <v>10</v>
      </c>
      <c r="F716" s="231">
        <v>2124.6</v>
      </c>
      <c r="G716" s="229" t="s">
        <v>1</v>
      </c>
      <c r="H716" s="405">
        <f ca="1">INDEX(PRODUTIVIDADES!$M:$M,MATCH(tbAREAS[[#This Row],[TIPO DE ÁREA]],PRODUTIVIDADES!$B:$B,0)+MATCH(tbAREAS[[#This Row],[LOCALIDADE]],PRODUTIVIDADES!$A:$A,0)-3)*tbAREAS[[#This Row],[ÁREA EM M²]]</f>
        <v>6628.7519999999995</v>
      </c>
      <c r="L716" s="391"/>
    </row>
    <row r="717" spans="1:12" hidden="1" x14ac:dyDescent="0.25">
      <c r="A717" s="228" t="s">
        <v>2</v>
      </c>
      <c r="B717" s="234" t="s">
        <v>82</v>
      </c>
      <c r="C717" s="230" t="s">
        <v>302</v>
      </c>
      <c r="D717" s="230" t="s">
        <v>303</v>
      </c>
      <c r="E717" s="229" t="s">
        <v>13</v>
      </c>
      <c r="F717" s="231">
        <v>176.42</v>
      </c>
      <c r="G717" s="229" t="s">
        <v>1</v>
      </c>
      <c r="H717" s="405">
        <f ca="1">INDEX(PRODUTIVIDADES!$M:$M,MATCH(tbAREAS[[#This Row],[TIPO DE ÁREA]],PRODUTIVIDADES!$B:$B,0)+MATCH(tbAREAS[[#This Row],[LOCALIDADE]],PRODUTIVIDADES!$A:$A,0)-3)*tbAREAS[[#This Row],[ÁREA EM M²]]</f>
        <v>550.43039999999996</v>
      </c>
      <c r="L717" s="391"/>
    </row>
    <row r="718" spans="1:12" hidden="1" x14ac:dyDescent="0.25">
      <c r="A718" s="228" t="s">
        <v>2</v>
      </c>
      <c r="B718" s="234" t="s">
        <v>82</v>
      </c>
      <c r="C718" s="230" t="s">
        <v>302</v>
      </c>
      <c r="D718" s="230" t="s">
        <v>303</v>
      </c>
      <c r="E718" s="229" t="s">
        <v>14</v>
      </c>
      <c r="F718" s="231">
        <v>27.97</v>
      </c>
      <c r="G718" s="229" t="s">
        <v>1</v>
      </c>
      <c r="H718" s="405">
        <f ca="1">INDEX(PRODUTIVIDADES!$M:$M,MATCH(tbAREAS[[#This Row],[TIPO DE ÁREA]],PRODUTIVIDADES!$B:$B,0)+MATCH(tbAREAS[[#This Row],[LOCALIDADE]],PRODUTIVIDADES!$A:$A,0)-3)*tbAREAS[[#This Row],[ÁREA EM M²]]</f>
        <v>237.745</v>
      </c>
      <c r="L718" s="391"/>
    </row>
    <row r="719" spans="1:12" hidden="1" x14ac:dyDescent="0.25">
      <c r="A719" s="228" t="s">
        <v>2</v>
      </c>
      <c r="B719" s="234" t="s">
        <v>82</v>
      </c>
      <c r="C719" s="230" t="s">
        <v>302</v>
      </c>
      <c r="D719" s="230" t="s">
        <v>303</v>
      </c>
      <c r="E719" s="229" t="s">
        <v>17</v>
      </c>
      <c r="F719" s="231">
        <v>1573.22</v>
      </c>
      <c r="G719" s="229" t="s">
        <v>1</v>
      </c>
      <c r="H719" s="405">
        <f ca="1">INDEX(PRODUTIVIDADES!$M:$M,MATCH(tbAREAS[[#This Row],[TIPO DE ÁREA]],PRODUTIVIDADES!$B:$B,0)+MATCH(tbAREAS[[#This Row],[LOCALIDADE]],PRODUTIVIDADES!$A:$A,0)-3)*tbAREAS[[#This Row],[ÁREA EM M²]]</f>
        <v>3681.3347999999996</v>
      </c>
      <c r="L719" s="391"/>
    </row>
    <row r="720" spans="1:12" hidden="1" x14ac:dyDescent="0.25">
      <c r="A720" s="228" t="s">
        <v>2</v>
      </c>
      <c r="B720" s="234" t="s">
        <v>82</v>
      </c>
      <c r="C720" s="230" t="s">
        <v>302</v>
      </c>
      <c r="D720" s="230" t="s">
        <v>303</v>
      </c>
      <c r="E720" s="229" t="s">
        <v>18</v>
      </c>
      <c r="F720" s="231">
        <v>190.83</v>
      </c>
      <c r="G720" s="229" t="s">
        <v>1</v>
      </c>
      <c r="H720" s="405">
        <f ca="1">INDEX(PRODUTIVIDADES!$M:$M,MATCH(tbAREAS[[#This Row],[TIPO DE ÁREA]],PRODUTIVIDADES!$B:$B,0)+MATCH(tbAREAS[[#This Row],[LOCALIDADE]],PRODUTIVIDADES!$A:$A,0)-3)*tbAREAS[[#This Row],[ÁREA EM M²]]</f>
        <v>8654.1405000000013</v>
      </c>
      <c r="L720" s="391"/>
    </row>
    <row r="721" spans="1:12" hidden="1" x14ac:dyDescent="0.25">
      <c r="A721" s="228" t="s">
        <v>2</v>
      </c>
      <c r="B721" s="234" t="s">
        <v>82</v>
      </c>
      <c r="C721" s="230" t="s">
        <v>302</v>
      </c>
      <c r="D721" s="230" t="s">
        <v>303</v>
      </c>
      <c r="E721" s="229" t="s">
        <v>21</v>
      </c>
      <c r="F721" s="231">
        <v>1813.79</v>
      </c>
      <c r="G721" s="229" t="s">
        <v>1</v>
      </c>
      <c r="H721" s="405">
        <f ca="1">INDEX(PRODUTIVIDADES!$M:$M,MATCH(tbAREAS[[#This Row],[TIPO DE ÁREA]],PRODUTIVIDADES!$B:$B,0)+MATCH(tbAREAS[[#This Row],[LOCALIDADE]],PRODUTIVIDADES!$A:$A,0)-3)*tbAREAS[[#This Row],[ÁREA EM M²]]</f>
        <v>308.34430000000003</v>
      </c>
      <c r="L721" s="391"/>
    </row>
    <row r="722" spans="1:12" hidden="1" x14ac:dyDescent="0.25">
      <c r="A722" s="228" t="s">
        <v>2</v>
      </c>
      <c r="B722" s="234" t="s">
        <v>82</v>
      </c>
      <c r="C722" s="230" t="s">
        <v>302</v>
      </c>
      <c r="D722" s="230" t="s">
        <v>303</v>
      </c>
      <c r="E722" s="229" t="s">
        <v>22</v>
      </c>
      <c r="F722" s="231">
        <v>1813.79</v>
      </c>
      <c r="G722" s="229" t="s">
        <v>1</v>
      </c>
      <c r="H722" s="405">
        <f ca="1">INDEX(PRODUTIVIDADES!$M:$M,MATCH(tbAREAS[[#This Row],[TIPO DE ÁREA]],PRODUTIVIDADES!$B:$B,0)+MATCH(tbAREAS[[#This Row],[LOCALIDADE]],PRODUTIVIDADES!$A:$A,0)-3)*tbAREAS[[#This Row],[ÁREA EM M²]]</f>
        <v>725.51600000000008</v>
      </c>
      <c r="L722" s="391"/>
    </row>
    <row r="723" spans="1:12" hidden="1" x14ac:dyDescent="0.25">
      <c r="A723" s="228" t="s">
        <v>2</v>
      </c>
      <c r="B723" s="234" t="s">
        <v>82</v>
      </c>
      <c r="C723" s="230" t="s">
        <v>145</v>
      </c>
      <c r="D723" s="230" t="s">
        <v>80</v>
      </c>
      <c r="E723" s="229" t="s">
        <v>9</v>
      </c>
      <c r="F723" s="231">
        <v>90.09</v>
      </c>
      <c r="G723" s="229" t="s">
        <v>1</v>
      </c>
      <c r="H723" s="405">
        <f ca="1">INDEX(PRODUTIVIDADES!$M:$M,MATCH(tbAREAS[[#This Row],[TIPO DE ÁREA]],PRODUTIVIDADES!$B:$B,0)+MATCH(tbAREAS[[#This Row],[LOCALIDADE]],PRODUTIVIDADES!$A:$A,0)-3)*tbAREAS[[#This Row],[ÁREA EM M²]]</f>
        <v>702.702</v>
      </c>
      <c r="L723" s="391"/>
    </row>
    <row r="724" spans="1:12" hidden="1" x14ac:dyDescent="0.25">
      <c r="A724" s="228" t="s">
        <v>2</v>
      </c>
      <c r="B724" s="234" t="s">
        <v>82</v>
      </c>
      <c r="C724" s="230" t="s">
        <v>145</v>
      </c>
      <c r="D724" s="230" t="s">
        <v>80</v>
      </c>
      <c r="E724" s="229" t="s">
        <v>10</v>
      </c>
      <c r="F724" s="231">
        <v>1742.35</v>
      </c>
      <c r="G724" s="229" t="s">
        <v>1</v>
      </c>
      <c r="H724" s="405">
        <f ca="1">INDEX(PRODUTIVIDADES!$M:$M,MATCH(tbAREAS[[#This Row],[TIPO DE ÁREA]],PRODUTIVIDADES!$B:$B,0)+MATCH(tbAREAS[[#This Row],[LOCALIDADE]],PRODUTIVIDADES!$A:$A,0)-3)*tbAREAS[[#This Row],[ÁREA EM M²]]</f>
        <v>5436.1319999999996</v>
      </c>
      <c r="L724" s="391"/>
    </row>
    <row r="725" spans="1:12" hidden="1" x14ac:dyDescent="0.25">
      <c r="A725" s="228" t="s">
        <v>2</v>
      </c>
      <c r="B725" s="234" t="s">
        <v>82</v>
      </c>
      <c r="C725" s="230" t="s">
        <v>145</v>
      </c>
      <c r="D725" s="230" t="s">
        <v>80</v>
      </c>
      <c r="E725" s="229" t="s">
        <v>13</v>
      </c>
      <c r="F725" s="231">
        <v>106.39</v>
      </c>
      <c r="G725" s="229" t="s">
        <v>1</v>
      </c>
      <c r="H725" s="405">
        <f ca="1">INDEX(PRODUTIVIDADES!$M:$M,MATCH(tbAREAS[[#This Row],[TIPO DE ÁREA]],PRODUTIVIDADES!$B:$B,0)+MATCH(tbAREAS[[#This Row],[LOCALIDADE]],PRODUTIVIDADES!$A:$A,0)-3)*tbAREAS[[#This Row],[ÁREA EM M²]]</f>
        <v>331.93680000000001</v>
      </c>
      <c r="L725" s="391"/>
    </row>
    <row r="726" spans="1:12" hidden="1" x14ac:dyDescent="0.25">
      <c r="A726" s="228" t="s">
        <v>2</v>
      </c>
      <c r="B726" s="234" t="s">
        <v>82</v>
      </c>
      <c r="C726" s="230" t="s">
        <v>145</v>
      </c>
      <c r="D726" s="230" t="s">
        <v>80</v>
      </c>
      <c r="E726" s="229" t="s">
        <v>14</v>
      </c>
      <c r="F726" s="231">
        <v>312.18</v>
      </c>
      <c r="G726" s="229" t="s">
        <v>1</v>
      </c>
      <c r="H726" s="405">
        <f ca="1">INDEX(PRODUTIVIDADES!$M:$M,MATCH(tbAREAS[[#This Row],[TIPO DE ÁREA]],PRODUTIVIDADES!$B:$B,0)+MATCH(tbAREAS[[#This Row],[LOCALIDADE]],PRODUTIVIDADES!$A:$A,0)-3)*tbAREAS[[#This Row],[ÁREA EM M²]]</f>
        <v>2653.53</v>
      </c>
      <c r="L726" s="391"/>
    </row>
    <row r="727" spans="1:12" hidden="1" x14ac:dyDescent="0.25">
      <c r="A727" s="228" t="s">
        <v>2</v>
      </c>
      <c r="B727" s="234" t="s">
        <v>82</v>
      </c>
      <c r="C727" s="230" t="s">
        <v>145</v>
      </c>
      <c r="D727" s="230" t="s">
        <v>80</v>
      </c>
      <c r="E727" s="229" t="s">
        <v>16</v>
      </c>
      <c r="F727" s="231">
        <v>88.27</v>
      </c>
      <c r="G727" s="229" t="s">
        <v>1</v>
      </c>
      <c r="H727" s="405">
        <f ca="1">INDEX(PRODUTIVIDADES!$M:$M,MATCH(tbAREAS[[#This Row],[TIPO DE ÁREA]],PRODUTIVIDADES!$B:$B,0)+MATCH(tbAREAS[[#This Row],[LOCALIDADE]],PRODUTIVIDADES!$A:$A,0)-3)*tbAREAS[[#This Row],[ÁREA EM M²]]</f>
        <v>68.8506</v>
      </c>
      <c r="L727" s="391"/>
    </row>
    <row r="728" spans="1:12" hidden="1" x14ac:dyDescent="0.25">
      <c r="A728" s="228" t="s">
        <v>2</v>
      </c>
      <c r="B728" s="234" t="s">
        <v>82</v>
      </c>
      <c r="C728" s="230" t="s">
        <v>145</v>
      </c>
      <c r="D728" s="230" t="s">
        <v>80</v>
      </c>
      <c r="E728" s="229" t="s">
        <v>17</v>
      </c>
      <c r="F728" s="231">
        <v>1089.6099999999999</v>
      </c>
      <c r="G728" s="229" t="s">
        <v>1</v>
      </c>
      <c r="H728" s="405">
        <f ca="1">INDEX(PRODUTIVIDADES!$M:$M,MATCH(tbAREAS[[#This Row],[TIPO DE ÁREA]],PRODUTIVIDADES!$B:$B,0)+MATCH(tbAREAS[[#This Row],[LOCALIDADE]],PRODUTIVIDADES!$A:$A,0)-3)*tbAREAS[[#This Row],[ÁREA EM M²]]</f>
        <v>2549.6873999999998</v>
      </c>
      <c r="L728" s="391"/>
    </row>
    <row r="729" spans="1:12" hidden="1" x14ac:dyDescent="0.25">
      <c r="A729" s="228" t="s">
        <v>2</v>
      </c>
      <c r="B729" s="234" t="s">
        <v>82</v>
      </c>
      <c r="C729" s="230" t="s">
        <v>145</v>
      </c>
      <c r="D729" s="230" t="s">
        <v>80</v>
      </c>
      <c r="E729" s="229" t="s">
        <v>18</v>
      </c>
      <c r="F729" s="231">
        <v>172.54</v>
      </c>
      <c r="G729" s="229" t="s">
        <v>1</v>
      </c>
      <c r="H729" s="405">
        <f ca="1">INDEX(PRODUTIVIDADES!$M:$M,MATCH(tbAREAS[[#This Row],[TIPO DE ÁREA]],PRODUTIVIDADES!$B:$B,0)+MATCH(tbAREAS[[#This Row],[LOCALIDADE]],PRODUTIVIDADES!$A:$A,0)-3)*tbAREAS[[#This Row],[ÁREA EM M²]]</f>
        <v>7824.6890000000003</v>
      </c>
      <c r="L729" s="391"/>
    </row>
    <row r="730" spans="1:12" hidden="1" x14ac:dyDescent="0.25">
      <c r="A730" s="228" t="s">
        <v>2</v>
      </c>
      <c r="B730" s="234" t="s">
        <v>82</v>
      </c>
      <c r="C730" s="230" t="s">
        <v>145</v>
      </c>
      <c r="D730" s="230" t="s">
        <v>80</v>
      </c>
      <c r="E730" s="229" t="s">
        <v>20</v>
      </c>
      <c r="F730" s="231">
        <v>765.95</v>
      </c>
      <c r="G730" s="229" t="s">
        <v>1</v>
      </c>
      <c r="H730" s="405">
        <f ca="1">INDEX(PRODUTIVIDADES!$M:$M,MATCH(tbAREAS[[#This Row],[TIPO DE ÁREA]],PRODUTIVIDADES!$B:$B,0)+MATCH(tbAREAS[[#This Row],[LOCALIDADE]],PRODUTIVIDADES!$A:$A,0)-3)*tbAREAS[[#This Row],[ÁREA EM M²]]</f>
        <v>597.44100000000003</v>
      </c>
      <c r="L730" s="391"/>
    </row>
    <row r="731" spans="1:12" hidden="1" x14ac:dyDescent="0.25">
      <c r="A731" s="228" t="s">
        <v>2</v>
      </c>
      <c r="B731" s="234" t="s">
        <v>82</v>
      </c>
      <c r="C731" s="230" t="s">
        <v>145</v>
      </c>
      <c r="D731" s="230" t="s">
        <v>80</v>
      </c>
      <c r="E731" s="229" t="s">
        <v>21</v>
      </c>
      <c r="F731" s="231">
        <v>968.95</v>
      </c>
      <c r="G731" s="229" t="s">
        <v>1</v>
      </c>
      <c r="H731" s="405">
        <f ca="1">INDEX(PRODUTIVIDADES!$M:$M,MATCH(tbAREAS[[#This Row],[TIPO DE ÁREA]],PRODUTIVIDADES!$B:$B,0)+MATCH(tbAREAS[[#This Row],[LOCALIDADE]],PRODUTIVIDADES!$A:$A,0)-3)*tbAREAS[[#This Row],[ÁREA EM M²]]</f>
        <v>164.72150000000002</v>
      </c>
      <c r="L731" s="391"/>
    </row>
    <row r="732" spans="1:12" hidden="1" x14ac:dyDescent="0.25">
      <c r="A732" s="228" t="s">
        <v>2</v>
      </c>
      <c r="B732" s="234" t="s">
        <v>82</v>
      </c>
      <c r="C732" s="230" t="s">
        <v>145</v>
      </c>
      <c r="D732" s="230" t="s">
        <v>80</v>
      </c>
      <c r="E732" s="229" t="s">
        <v>22</v>
      </c>
      <c r="F732" s="231">
        <v>968.95</v>
      </c>
      <c r="G732" s="229" t="s">
        <v>1</v>
      </c>
      <c r="H732" s="405">
        <f ca="1">INDEX(PRODUTIVIDADES!$M:$M,MATCH(tbAREAS[[#This Row],[TIPO DE ÁREA]],PRODUTIVIDADES!$B:$B,0)+MATCH(tbAREAS[[#This Row],[LOCALIDADE]],PRODUTIVIDADES!$A:$A,0)-3)*tbAREAS[[#This Row],[ÁREA EM M²]]</f>
        <v>387.58000000000004</v>
      </c>
      <c r="L732" s="391"/>
    </row>
    <row r="733" spans="1:12" hidden="1" x14ac:dyDescent="0.25">
      <c r="A733" s="228" t="s">
        <v>2</v>
      </c>
      <c r="B733" s="234" t="s">
        <v>82</v>
      </c>
      <c r="C733" s="230" t="s">
        <v>304</v>
      </c>
      <c r="D733" s="230" t="s">
        <v>305</v>
      </c>
      <c r="E733" s="229" t="s">
        <v>9</v>
      </c>
      <c r="F733" s="231">
        <v>1207.44</v>
      </c>
      <c r="G733" s="229" t="s">
        <v>1</v>
      </c>
      <c r="H733" s="405">
        <f ca="1">INDEX(PRODUTIVIDADES!$M:$M,MATCH(tbAREAS[[#This Row],[TIPO DE ÁREA]],PRODUTIVIDADES!$B:$B,0)+MATCH(tbAREAS[[#This Row],[LOCALIDADE]],PRODUTIVIDADES!$A:$A,0)-3)*tbAREAS[[#This Row],[ÁREA EM M²]]</f>
        <v>9418.0320000000011</v>
      </c>
      <c r="L733" s="391"/>
    </row>
    <row r="734" spans="1:12" hidden="1" x14ac:dyDescent="0.25">
      <c r="A734" s="228" t="s">
        <v>2</v>
      </c>
      <c r="B734" s="234" t="s">
        <v>82</v>
      </c>
      <c r="C734" s="230" t="s">
        <v>304</v>
      </c>
      <c r="D734" s="230" t="s">
        <v>305</v>
      </c>
      <c r="E734" s="229" t="s">
        <v>10</v>
      </c>
      <c r="F734" s="231">
        <v>18.07</v>
      </c>
      <c r="G734" s="229" t="s">
        <v>1</v>
      </c>
      <c r="H734" s="405">
        <f ca="1">INDEX(PRODUTIVIDADES!$M:$M,MATCH(tbAREAS[[#This Row],[TIPO DE ÁREA]],PRODUTIVIDADES!$B:$B,0)+MATCH(tbAREAS[[#This Row],[LOCALIDADE]],PRODUTIVIDADES!$A:$A,0)-3)*tbAREAS[[#This Row],[ÁREA EM M²]]</f>
        <v>56.378400000000006</v>
      </c>
      <c r="L734" s="391"/>
    </row>
    <row r="735" spans="1:12" hidden="1" x14ac:dyDescent="0.25">
      <c r="A735" s="228" t="s">
        <v>2</v>
      </c>
      <c r="B735" s="234" t="s">
        <v>82</v>
      </c>
      <c r="C735" s="230" t="s">
        <v>304</v>
      </c>
      <c r="D735" s="230" t="s">
        <v>305</v>
      </c>
      <c r="E735" s="229" t="s">
        <v>13</v>
      </c>
      <c r="F735" s="231">
        <v>203</v>
      </c>
      <c r="G735" s="229" t="s">
        <v>1</v>
      </c>
      <c r="H735" s="405">
        <f ca="1">INDEX(PRODUTIVIDADES!$M:$M,MATCH(tbAREAS[[#This Row],[TIPO DE ÁREA]],PRODUTIVIDADES!$B:$B,0)+MATCH(tbAREAS[[#This Row],[LOCALIDADE]],PRODUTIVIDADES!$A:$A,0)-3)*tbAREAS[[#This Row],[ÁREA EM M²]]</f>
        <v>633.36</v>
      </c>
      <c r="L735" s="391"/>
    </row>
    <row r="736" spans="1:12" hidden="1" x14ac:dyDescent="0.25">
      <c r="A736" s="228" t="s">
        <v>2</v>
      </c>
      <c r="B736" s="234" t="s">
        <v>82</v>
      </c>
      <c r="C736" s="230" t="s">
        <v>304</v>
      </c>
      <c r="D736" s="230" t="s">
        <v>305</v>
      </c>
      <c r="E736" s="229" t="s">
        <v>14</v>
      </c>
      <c r="F736" s="231">
        <v>755.72</v>
      </c>
      <c r="G736" s="229" t="s">
        <v>1</v>
      </c>
      <c r="H736" s="405">
        <f ca="1">INDEX(PRODUTIVIDADES!$M:$M,MATCH(tbAREAS[[#This Row],[TIPO DE ÁREA]],PRODUTIVIDADES!$B:$B,0)+MATCH(tbAREAS[[#This Row],[LOCALIDADE]],PRODUTIVIDADES!$A:$A,0)-3)*tbAREAS[[#This Row],[ÁREA EM M²]]</f>
        <v>6423.62</v>
      </c>
      <c r="L736" s="391"/>
    </row>
    <row r="737" spans="1:12" hidden="1" x14ac:dyDescent="0.25">
      <c r="A737" s="228" t="s">
        <v>2</v>
      </c>
      <c r="B737" s="234" t="s">
        <v>82</v>
      </c>
      <c r="C737" s="230" t="s">
        <v>304</v>
      </c>
      <c r="D737" s="230" t="s">
        <v>305</v>
      </c>
      <c r="E737" s="229" t="s">
        <v>17</v>
      </c>
      <c r="F737" s="231">
        <v>668.04</v>
      </c>
      <c r="G737" s="229" t="s">
        <v>1</v>
      </c>
      <c r="H737" s="405">
        <f ca="1">INDEX(PRODUTIVIDADES!$M:$M,MATCH(tbAREAS[[#This Row],[TIPO DE ÁREA]],PRODUTIVIDADES!$B:$B,0)+MATCH(tbAREAS[[#This Row],[LOCALIDADE]],PRODUTIVIDADES!$A:$A,0)-3)*tbAREAS[[#This Row],[ÁREA EM M²]]</f>
        <v>1563.2135999999998</v>
      </c>
      <c r="L737" s="391"/>
    </row>
    <row r="738" spans="1:12" hidden="1" x14ac:dyDescent="0.25">
      <c r="A738" s="228" t="s">
        <v>2</v>
      </c>
      <c r="B738" s="234" t="s">
        <v>82</v>
      </c>
      <c r="C738" s="230" t="s">
        <v>304</v>
      </c>
      <c r="D738" s="230" t="s">
        <v>305</v>
      </c>
      <c r="E738" s="229" t="s">
        <v>18</v>
      </c>
      <c r="F738" s="231">
        <v>141.96</v>
      </c>
      <c r="G738" s="229" t="s">
        <v>1</v>
      </c>
      <c r="H738" s="405">
        <f ca="1">INDEX(PRODUTIVIDADES!$M:$M,MATCH(tbAREAS[[#This Row],[TIPO DE ÁREA]],PRODUTIVIDADES!$B:$B,0)+MATCH(tbAREAS[[#This Row],[LOCALIDADE]],PRODUTIVIDADES!$A:$A,0)-3)*tbAREAS[[#This Row],[ÁREA EM M²]]</f>
        <v>6437.8860000000004</v>
      </c>
      <c r="L738" s="391"/>
    </row>
    <row r="739" spans="1:12" hidden="1" x14ac:dyDescent="0.25">
      <c r="A739" s="228" t="s">
        <v>2</v>
      </c>
      <c r="B739" s="234" t="s">
        <v>82</v>
      </c>
      <c r="C739" s="230" t="s">
        <v>304</v>
      </c>
      <c r="D739" s="230" t="s">
        <v>305</v>
      </c>
      <c r="E739" s="229" t="s">
        <v>21</v>
      </c>
      <c r="F739" s="231">
        <v>719</v>
      </c>
      <c r="G739" s="229" t="s">
        <v>1</v>
      </c>
      <c r="H739" s="405">
        <f ca="1">INDEX(PRODUTIVIDADES!$M:$M,MATCH(tbAREAS[[#This Row],[TIPO DE ÁREA]],PRODUTIVIDADES!$B:$B,0)+MATCH(tbAREAS[[#This Row],[LOCALIDADE]],PRODUTIVIDADES!$A:$A,0)-3)*tbAREAS[[#This Row],[ÁREA EM M²]]</f>
        <v>122.23</v>
      </c>
      <c r="L739" s="391"/>
    </row>
    <row r="740" spans="1:12" hidden="1" x14ac:dyDescent="0.25">
      <c r="A740" s="228" t="s">
        <v>2</v>
      </c>
      <c r="B740" s="234" t="s">
        <v>82</v>
      </c>
      <c r="C740" s="230" t="s">
        <v>304</v>
      </c>
      <c r="D740" s="230" t="s">
        <v>305</v>
      </c>
      <c r="E740" s="229" t="s">
        <v>22</v>
      </c>
      <c r="F740" s="231">
        <v>719</v>
      </c>
      <c r="G740" s="229" t="s">
        <v>1</v>
      </c>
      <c r="H740" s="405">
        <f ca="1">INDEX(PRODUTIVIDADES!$M:$M,MATCH(tbAREAS[[#This Row],[TIPO DE ÁREA]],PRODUTIVIDADES!$B:$B,0)+MATCH(tbAREAS[[#This Row],[LOCALIDADE]],PRODUTIVIDADES!$A:$A,0)-3)*tbAREAS[[#This Row],[ÁREA EM M²]]</f>
        <v>287.60000000000002</v>
      </c>
      <c r="L740" s="391"/>
    </row>
    <row r="741" spans="1:12" hidden="1" x14ac:dyDescent="0.25">
      <c r="A741" s="228" t="s">
        <v>2</v>
      </c>
      <c r="B741" s="234" t="s">
        <v>82</v>
      </c>
      <c r="C741" s="230" t="s">
        <v>306</v>
      </c>
      <c r="D741" s="230" t="s">
        <v>307</v>
      </c>
      <c r="E741" s="229" t="s">
        <v>9</v>
      </c>
      <c r="F741" s="231">
        <v>253.64</v>
      </c>
      <c r="G741" s="229" t="s">
        <v>1</v>
      </c>
      <c r="H741" s="405">
        <f ca="1">INDEX(PRODUTIVIDADES!$M:$M,MATCH(tbAREAS[[#This Row],[TIPO DE ÁREA]],PRODUTIVIDADES!$B:$B,0)+MATCH(tbAREAS[[#This Row],[LOCALIDADE]],PRODUTIVIDADES!$A:$A,0)-3)*tbAREAS[[#This Row],[ÁREA EM M²]]</f>
        <v>1978.3919999999998</v>
      </c>
      <c r="L741" s="391"/>
    </row>
    <row r="742" spans="1:12" hidden="1" x14ac:dyDescent="0.25">
      <c r="A742" s="228" t="s">
        <v>2</v>
      </c>
      <c r="B742" s="234" t="s">
        <v>82</v>
      </c>
      <c r="C742" s="230" t="s">
        <v>306</v>
      </c>
      <c r="D742" s="230" t="s">
        <v>307</v>
      </c>
      <c r="E742" s="229" t="s">
        <v>10</v>
      </c>
      <c r="F742" s="231">
        <v>108.43</v>
      </c>
      <c r="G742" s="229" t="s">
        <v>1</v>
      </c>
      <c r="H742" s="405">
        <f ca="1">INDEX(PRODUTIVIDADES!$M:$M,MATCH(tbAREAS[[#This Row],[TIPO DE ÁREA]],PRODUTIVIDADES!$B:$B,0)+MATCH(tbAREAS[[#This Row],[LOCALIDADE]],PRODUTIVIDADES!$A:$A,0)-3)*tbAREAS[[#This Row],[ÁREA EM M²]]</f>
        <v>338.30160000000001</v>
      </c>
      <c r="L742" s="391"/>
    </row>
    <row r="743" spans="1:12" hidden="1" x14ac:dyDescent="0.25">
      <c r="A743" s="228" t="s">
        <v>2</v>
      </c>
      <c r="B743" s="234" t="s">
        <v>82</v>
      </c>
      <c r="C743" s="230" t="s">
        <v>306</v>
      </c>
      <c r="D743" s="230" t="s">
        <v>307</v>
      </c>
      <c r="E743" s="229" t="s">
        <v>13</v>
      </c>
      <c r="F743" s="231">
        <v>202.7</v>
      </c>
      <c r="G743" s="229" t="s">
        <v>1</v>
      </c>
      <c r="H743" s="405">
        <f ca="1">INDEX(PRODUTIVIDADES!$M:$M,MATCH(tbAREAS[[#This Row],[TIPO DE ÁREA]],PRODUTIVIDADES!$B:$B,0)+MATCH(tbAREAS[[#This Row],[LOCALIDADE]],PRODUTIVIDADES!$A:$A,0)-3)*tbAREAS[[#This Row],[ÁREA EM M²]]</f>
        <v>632.42399999999998</v>
      </c>
      <c r="L743" s="391"/>
    </row>
    <row r="744" spans="1:12" hidden="1" x14ac:dyDescent="0.25">
      <c r="A744" s="228" t="s">
        <v>2</v>
      </c>
      <c r="B744" s="234" t="s">
        <v>82</v>
      </c>
      <c r="C744" s="230" t="s">
        <v>306</v>
      </c>
      <c r="D744" s="230" t="s">
        <v>307</v>
      </c>
      <c r="E744" s="229" t="s">
        <v>14</v>
      </c>
      <c r="F744" s="231">
        <v>1149.8399999999999</v>
      </c>
      <c r="G744" s="229" t="s">
        <v>1</v>
      </c>
      <c r="H744" s="405">
        <f ca="1">INDEX(PRODUTIVIDADES!$M:$M,MATCH(tbAREAS[[#This Row],[TIPO DE ÁREA]],PRODUTIVIDADES!$B:$B,0)+MATCH(tbAREAS[[#This Row],[LOCALIDADE]],PRODUTIVIDADES!$A:$A,0)-3)*tbAREAS[[#This Row],[ÁREA EM M²]]</f>
        <v>9773.64</v>
      </c>
      <c r="L744" s="391"/>
    </row>
    <row r="745" spans="1:12" hidden="1" x14ac:dyDescent="0.25">
      <c r="A745" s="228" t="s">
        <v>2</v>
      </c>
      <c r="B745" s="234" t="s">
        <v>82</v>
      </c>
      <c r="C745" s="230" t="s">
        <v>306</v>
      </c>
      <c r="D745" s="230" t="s">
        <v>307</v>
      </c>
      <c r="E745" s="229" t="s">
        <v>17</v>
      </c>
      <c r="F745" s="231">
        <v>487.02</v>
      </c>
      <c r="G745" s="229" t="s">
        <v>1</v>
      </c>
      <c r="H745" s="405">
        <f ca="1">INDEX(PRODUTIVIDADES!$M:$M,MATCH(tbAREAS[[#This Row],[TIPO DE ÁREA]],PRODUTIVIDADES!$B:$B,0)+MATCH(tbAREAS[[#This Row],[LOCALIDADE]],PRODUTIVIDADES!$A:$A,0)-3)*tbAREAS[[#This Row],[ÁREA EM M²]]</f>
        <v>1139.6267999999998</v>
      </c>
      <c r="L745" s="391"/>
    </row>
    <row r="746" spans="1:12" hidden="1" x14ac:dyDescent="0.25">
      <c r="A746" s="228" t="s">
        <v>2</v>
      </c>
      <c r="B746" s="234" t="s">
        <v>82</v>
      </c>
      <c r="C746" s="230" t="s">
        <v>306</v>
      </c>
      <c r="D746" s="230" t="s">
        <v>307</v>
      </c>
      <c r="E746" s="229" t="s">
        <v>18</v>
      </c>
      <c r="F746" s="231">
        <v>131.41</v>
      </c>
      <c r="G746" s="229" t="s">
        <v>1</v>
      </c>
      <c r="H746" s="405">
        <f ca="1">INDEX(PRODUTIVIDADES!$M:$M,MATCH(tbAREAS[[#This Row],[TIPO DE ÁREA]],PRODUTIVIDADES!$B:$B,0)+MATCH(tbAREAS[[#This Row],[LOCALIDADE]],PRODUTIVIDADES!$A:$A,0)-3)*tbAREAS[[#This Row],[ÁREA EM M²]]</f>
        <v>5959.4435000000003</v>
      </c>
      <c r="L746" s="391"/>
    </row>
    <row r="747" spans="1:12" hidden="1" x14ac:dyDescent="0.25">
      <c r="A747" s="228" t="s">
        <v>2</v>
      </c>
      <c r="B747" s="234" t="s">
        <v>82</v>
      </c>
      <c r="C747" s="230" t="s">
        <v>306</v>
      </c>
      <c r="D747" s="230" t="s">
        <v>307</v>
      </c>
      <c r="E747" s="229" t="s">
        <v>21</v>
      </c>
      <c r="F747" s="231">
        <v>555</v>
      </c>
      <c r="G747" s="229" t="s">
        <v>1</v>
      </c>
      <c r="H747" s="405">
        <f ca="1">INDEX(PRODUTIVIDADES!$M:$M,MATCH(tbAREAS[[#This Row],[TIPO DE ÁREA]],PRODUTIVIDADES!$B:$B,0)+MATCH(tbAREAS[[#This Row],[LOCALIDADE]],PRODUTIVIDADES!$A:$A,0)-3)*tbAREAS[[#This Row],[ÁREA EM M²]]</f>
        <v>94.350000000000009</v>
      </c>
      <c r="L747" s="391"/>
    </row>
    <row r="748" spans="1:12" hidden="1" x14ac:dyDescent="0.25">
      <c r="A748" s="228" t="s">
        <v>2</v>
      </c>
      <c r="B748" s="234" t="s">
        <v>82</v>
      </c>
      <c r="C748" s="230" t="s">
        <v>306</v>
      </c>
      <c r="D748" s="230" t="s">
        <v>307</v>
      </c>
      <c r="E748" s="229" t="s">
        <v>22</v>
      </c>
      <c r="F748" s="231">
        <v>555</v>
      </c>
      <c r="G748" s="229" t="s">
        <v>1</v>
      </c>
      <c r="H748" s="405">
        <f ca="1">INDEX(PRODUTIVIDADES!$M:$M,MATCH(tbAREAS[[#This Row],[TIPO DE ÁREA]],PRODUTIVIDADES!$B:$B,0)+MATCH(tbAREAS[[#This Row],[LOCALIDADE]],PRODUTIVIDADES!$A:$A,0)-3)*tbAREAS[[#This Row],[ÁREA EM M²]]</f>
        <v>222</v>
      </c>
      <c r="L748" s="391"/>
    </row>
    <row r="749" spans="1:12" hidden="1" x14ac:dyDescent="0.25">
      <c r="A749" s="228" t="s">
        <v>2</v>
      </c>
      <c r="B749" s="234" t="s">
        <v>82</v>
      </c>
      <c r="C749" s="230" t="s">
        <v>308</v>
      </c>
      <c r="D749" s="230" t="s">
        <v>309</v>
      </c>
      <c r="E749" s="229" t="s">
        <v>9</v>
      </c>
      <c r="F749" s="231">
        <v>205.15</v>
      </c>
      <c r="G749" s="229" t="s">
        <v>1</v>
      </c>
      <c r="H749" s="405">
        <f ca="1">INDEX(PRODUTIVIDADES!$M:$M,MATCH(tbAREAS[[#This Row],[TIPO DE ÁREA]],PRODUTIVIDADES!$B:$B,0)+MATCH(tbAREAS[[#This Row],[LOCALIDADE]],PRODUTIVIDADES!$A:$A,0)-3)*tbAREAS[[#This Row],[ÁREA EM M²]]</f>
        <v>1600.17</v>
      </c>
      <c r="L749" s="391"/>
    </row>
    <row r="750" spans="1:12" hidden="1" x14ac:dyDescent="0.25">
      <c r="A750" s="228" t="s">
        <v>2</v>
      </c>
      <c r="B750" s="234" t="s">
        <v>82</v>
      </c>
      <c r="C750" s="230" t="s">
        <v>308</v>
      </c>
      <c r="D750" s="230" t="s">
        <v>309</v>
      </c>
      <c r="E750" s="229" t="s">
        <v>10</v>
      </c>
      <c r="F750" s="231">
        <v>473.96</v>
      </c>
      <c r="G750" s="229" t="s">
        <v>1</v>
      </c>
      <c r="H750" s="405">
        <f ca="1">INDEX(PRODUTIVIDADES!$M:$M,MATCH(tbAREAS[[#This Row],[TIPO DE ÁREA]],PRODUTIVIDADES!$B:$B,0)+MATCH(tbAREAS[[#This Row],[LOCALIDADE]],PRODUTIVIDADES!$A:$A,0)-3)*tbAREAS[[#This Row],[ÁREA EM M²]]</f>
        <v>1478.7552000000001</v>
      </c>
      <c r="L750" s="391"/>
    </row>
    <row r="751" spans="1:12" hidden="1" x14ac:dyDescent="0.25">
      <c r="A751" s="228" t="s">
        <v>2</v>
      </c>
      <c r="B751" s="234" t="s">
        <v>82</v>
      </c>
      <c r="C751" s="230" t="s">
        <v>308</v>
      </c>
      <c r="D751" s="230" t="s">
        <v>309</v>
      </c>
      <c r="E751" s="229" t="s">
        <v>14</v>
      </c>
      <c r="F751" s="231">
        <v>444.2</v>
      </c>
      <c r="G751" s="229" t="s">
        <v>1</v>
      </c>
      <c r="H751" s="405">
        <f ca="1">INDEX(PRODUTIVIDADES!$M:$M,MATCH(tbAREAS[[#This Row],[TIPO DE ÁREA]],PRODUTIVIDADES!$B:$B,0)+MATCH(tbAREAS[[#This Row],[LOCALIDADE]],PRODUTIVIDADES!$A:$A,0)-3)*tbAREAS[[#This Row],[ÁREA EM M²]]</f>
        <v>3775.7</v>
      </c>
      <c r="L751" s="391"/>
    </row>
    <row r="752" spans="1:12" hidden="1" x14ac:dyDescent="0.25">
      <c r="A752" s="228" t="s">
        <v>2</v>
      </c>
      <c r="B752" s="234" t="s">
        <v>82</v>
      </c>
      <c r="C752" s="230" t="s">
        <v>308</v>
      </c>
      <c r="D752" s="230" t="s">
        <v>309</v>
      </c>
      <c r="E752" s="229" t="s">
        <v>17</v>
      </c>
      <c r="F752" s="231">
        <v>393.4</v>
      </c>
      <c r="G752" s="229" t="s">
        <v>1</v>
      </c>
      <c r="H752" s="405">
        <f ca="1">INDEX(PRODUTIVIDADES!$M:$M,MATCH(tbAREAS[[#This Row],[TIPO DE ÁREA]],PRODUTIVIDADES!$B:$B,0)+MATCH(tbAREAS[[#This Row],[LOCALIDADE]],PRODUTIVIDADES!$A:$A,0)-3)*tbAREAS[[#This Row],[ÁREA EM M²]]</f>
        <v>920.55599999999993</v>
      </c>
      <c r="L752" s="391"/>
    </row>
    <row r="753" spans="1:12" hidden="1" x14ac:dyDescent="0.25">
      <c r="A753" s="228" t="s">
        <v>2</v>
      </c>
      <c r="B753" s="234" t="s">
        <v>82</v>
      </c>
      <c r="C753" s="230" t="s">
        <v>308</v>
      </c>
      <c r="D753" s="230" t="s">
        <v>309</v>
      </c>
      <c r="E753" s="229" t="s">
        <v>18</v>
      </c>
      <c r="F753" s="231">
        <v>50.75</v>
      </c>
      <c r="G753" s="229" t="s">
        <v>1</v>
      </c>
      <c r="H753" s="405">
        <f ca="1">INDEX(PRODUTIVIDADES!$M:$M,MATCH(tbAREAS[[#This Row],[TIPO DE ÁREA]],PRODUTIVIDADES!$B:$B,0)+MATCH(tbAREAS[[#This Row],[LOCALIDADE]],PRODUTIVIDADES!$A:$A,0)-3)*tbAREAS[[#This Row],[ÁREA EM M²]]</f>
        <v>2301.5125000000003</v>
      </c>
      <c r="L753" s="391"/>
    </row>
    <row r="754" spans="1:12" hidden="1" x14ac:dyDescent="0.25">
      <c r="A754" s="228" t="s">
        <v>2</v>
      </c>
      <c r="B754" s="234" t="s">
        <v>82</v>
      </c>
      <c r="C754" s="230" t="s">
        <v>308</v>
      </c>
      <c r="D754" s="230" t="s">
        <v>309</v>
      </c>
      <c r="E754" s="229" t="s">
        <v>21</v>
      </c>
      <c r="F754" s="231">
        <v>436</v>
      </c>
      <c r="G754" s="229" t="s">
        <v>1</v>
      </c>
      <c r="H754" s="405">
        <f ca="1">INDEX(PRODUTIVIDADES!$M:$M,MATCH(tbAREAS[[#This Row],[TIPO DE ÁREA]],PRODUTIVIDADES!$B:$B,0)+MATCH(tbAREAS[[#This Row],[LOCALIDADE]],PRODUTIVIDADES!$A:$A,0)-3)*tbAREAS[[#This Row],[ÁREA EM M²]]</f>
        <v>74.12</v>
      </c>
      <c r="L754" s="391"/>
    </row>
    <row r="755" spans="1:12" hidden="1" x14ac:dyDescent="0.25">
      <c r="A755" s="228" t="s">
        <v>2</v>
      </c>
      <c r="B755" s="234" t="s">
        <v>82</v>
      </c>
      <c r="C755" s="230" t="s">
        <v>308</v>
      </c>
      <c r="D755" s="230" t="s">
        <v>309</v>
      </c>
      <c r="E755" s="229" t="s">
        <v>22</v>
      </c>
      <c r="F755" s="231">
        <v>436</v>
      </c>
      <c r="G755" s="229" t="s">
        <v>1</v>
      </c>
      <c r="H755" s="405">
        <f ca="1">INDEX(PRODUTIVIDADES!$M:$M,MATCH(tbAREAS[[#This Row],[TIPO DE ÁREA]],PRODUTIVIDADES!$B:$B,0)+MATCH(tbAREAS[[#This Row],[LOCALIDADE]],PRODUTIVIDADES!$A:$A,0)-3)*tbAREAS[[#This Row],[ÁREA EM M²]]</f>
        <v>174.4</v>
      </c>
      <c r="L755" s="391"/>
    </row>
    <row r="756" spans="1:12" hidden="1" x14ac:dyDescent="0.25">
      <c r="A756" s="228" t="s">
        <v>2</v>
      </c>
      <c r="B756" s="234" t="s">
        <v>82</v>
      </c>
      <c r="C756" s="230" t="s">
        <v>310</v>
      </c>
      <c r="D756" s="230" t="s">
        <v>311</v>
      </c>
      <c r="E756" s="229" t="s">
        <v>9</v>
      </c>
      <c r="F756" s="231">
        <v>838</v>
      </c>
      <c r="G756" s="229" t="s">
        <v>1</v>
      </c>
      <c r="H756" s="405">
        <f ca="1">INDEX(PRODUTIVIDADES!$M:$M,MATCH(tbAREAS[[#This Row],[TIPO DE ÁREA]],PRODUTIVIDADES!$B:$B,0)+MATCH(tbAREAS[[#This Row],[LOCALIDADE]],PRODUTIVIDADES!$A:$A,0)-3)*tbAREAS[[#This Row],[ÁREA EM M²]]</f>
        <v>6536.4</v>
      </c>
      <c r="L756" s="391"/>
    </row>
    <row r="757" spans="1:12" hidden="1" x14ac:dyDescent="0.25">
      <c r="A757" s="228" t="s">
        <v>2</v>
      </c>
      <c r="B757" s="234" t="s">
        <v>82</v>
      </c>
      <c r="C757" s="230" t="s">
        <v>310</v>
      </c>
      <c r="D757" s="230" t="s">
        <v>311</v>
      </c>
      <c r="E757" s="229" t="s">
        <v>10</v>
      </c>
      <c r="F757" s="231">
        <v>646.87</v>
      </c>
      <c r="G757" s="229" t="s">
        <v>1</v>
      </c>
      <c r="H757" s="405">
        <f ca="1">INDEX(PRODUTIVIDADES!$M:$M,MATCH(tbAREAS[[#This Row],[TIPO DE ÁREA]],PRODUTIVIDADES!$B:$B,0)+MATCH(tbAREAS[[#This Row],[LOCALIDADE]],PRODUTIVIDADES!$A:$A,0)-3)*tbAREAS[[#This Row],[ÁREA EM M²]]</f>
        <v>2018.2344000000001</v>
      </c>
      <c r="L757" s="391"/>
    </row>
    <row r="758" spans="1:12" hidden="1" x14ac:dyDescent="0.25">
      <c r="A758" s="228" t="s">
        <v>2</v>
      </c>
      <c r="B758" s="234" t="s">
        <v>82</v>
      </c>
      <c r="C758" s="230" t="s">
        <v>310</v>
      </c>
      <c r="D758" s="230" t="s">
        <v>311</v>
      </c>
      <c r="E758" s="229" t="s">
        <v>13</v>
      </c>
      <c r="F758" s="231">
        <v>420.78</v>
      </c>
      <c r="G758" s="229" t="s">
        <v>1</v>
      </c>
      <c r="H758" s="405">
        <f ca="1">INDEX(PRODUTIVIDADES!$M:$M,MATCH(tbAREAS[[#This Row],[TIPO DE ÁREA]],PRODUTIVIDADES!$B:$B,0)+MATCH(tbAREAS[[#This Row],[LOCALIDADE]],PRODUTIVIDADES!$A:$A,0)-3)*tbAREAS[[#This Row],[ÁREA EM M²]]</f>
        <v>1312.8335999999999</v>
      </c>
      <c r="L758" s="391"/>
    </row>
    <row r="759" spans="1:12" hidden="1" x14ac:dyDescent="0.25">
      <c r="A759" s="228" t="s">
        <v>2</v>
      </c>
      <c r="B759" s="234" t="s">
        <v>82</v>
      </c>
      <c r="C759" s="230" t="s">
        <v>310</v>
      </c>
      <c r="D759" s="230" t="s">
        <v>311</v>
      </c>
      <c r="E759" s="229" t="s">
        <v>17</v>
      </c>
      <c r="F759" s="231">
        <v>937.56</v>
      </c>
      <c r="G759" s="229" t="s">
        <v>1</v>
      </c>
      <c r="H759" s="405">
        <f ca="1">INDEX(PRODUTIVIDADES!$M:$M,MATCH(tbAREAS[[#This Row],[TIPO DE ÁREA]],PRODUTIVIDADES!$B:$B,0)+MATCH(tbAREAS[[#This Row],[LOCALIDADE]],PRODUTIVIDADES!$A:$A,0)-3)*tbAREAS[[#This Row],[ÁREA EM M²]]</f>
        <v>2193.8903999999998</v>
      </c>
      <c r="L759" s="391"/>
    </row>
    <row r="760" spans="1:12" hidden="1" x14ac:dyDescent="0.25">
      <c r="A760" s="228" t="s">
        <v>2</v>
      </c>
      <c r="B760" s="234" t="s">
        <v>82</v>
      </c>
      <c r="C760" s="230" t="s">
        <v>310</v>
      </c>
      <c r="D760" s="230" t="s">
        <v>311</v>
      </c>
      <c r="E760" s="229" t="s">
        <v>18</v>
      </c>
      <c r="F760" s="231">
        <v>103.16</v>
      </c>
      <c r="G760" s="229" t="s">
        <v>1</v>
      </c>
      <c r="H760" s="405">
        <f ca="1">INDEX(PRODUTIVIDADES!$M:$M,MATCH(tbAREAS[[#This Row],[TIPO DE ÁREA]],PRODUTIVIDADES!$B:$B,0)+MATCH(tbAREAS[[#This Row],[LOCALIDADE]],PRODUTIVIDADES!$A:$A,0)-3)*tbAREAS[[#This Row],[ÁREA EM M²]]</f>
        <v>4678.3059999999996</v>
      </c>
      <c r="L760" s="391"/>
    </row>
    <row r="761" spans="1:12" hidden="1" x14ac:dyDescent="0.25">
      <c r="A761" s="228" t="s">
        <v>2</v>
      </c>
      <c r="B761" s="234" t="s">
        <v>82</v>
      </c>
      <c r="C761" s="230" t="s">
        <v>310</v>
      </c>
      <c r="D761" s="230" t="s">
        <v>311</v>
      </c>
      <c r="E761" s="229" t="s">
        <v>20</v>
      </c>
      <c r="F761" s="231">
        <v>365.93</v>
      </c>
      <c r="G761" s="229" t="s">
        <v>1</v>
      </c>
      <c r="H761" s="405">
        <f ca="1">INDEX(PRODUTIVIDADES!$M:$M,MATCH(tbAREAS[[#This Row],[TIPO DE ÁREA]],PRODUTIVIDADES!$B:$B,0)+MATCH(tbAREAS[[#This Row],[LOCALIDADE]],PRODUTIVIDADES!$A:$A,0)-3)*tbAREAS[[#This Row],[ÁREA EM M²]]</f>
        <v>285.42540000000002</v>
      </c>
      <c r="L761" s="391"/>
    </row>
    <row r="762" spans="1:12" hidden="1" x14ac:dyDescent="0.25">
      <c r="A762" s="228" t="s">
        <v>2</v>
      </c>
      <c r="B762" s="234" t="s">
        <v>82</v>
      </c>
      <c r="C762" s="230" t="s">
        <v>310</v>
      </c>
      <c r="D762" s="230" t="s">
        <v>311</v>
      </c>
      <c r="E762" s="229" t="s">
        <v>21</v>
      </c>
      <c r="F762" s="231">
        <v>789.68</v>
      </c>
      <c r="G762" s="229" t="s">
        <v>1</v>
      </c>
      <c r="H762" s="405">
        <f ca="1">INDEX(PRODUTIVIDADES!$M:$M,MATCH(tbAREAS[[#This Row],[TIPO DE ÁREA]],PRODUTIVIDADES!$B:$B,0)+MATCH(tbAREAS[[#This Row],[LOCALIDADE]],PRODUTIVIDADES!$A:$A,0)-3)*tbAREAS[[#This Row],[ÁREA EM M²]]</f>
        <v>134.2456</v>
      </c>
      <c r="L762" s="391"/>
    </row>
    <row r="763" spans="1:12" hidden="1" x14ac:dyDescent="0.25">
      <c r="A763" s="228" t="s">
        <v>2</v>
      </c>
      <c r="B763" s="234" t="s">
        <v>82</v>
      </c>
      <c r="C763" s="230" t="s">
        <v>310</v>
      </c>
      <c r="D763" s="230" t="s">
        <v>311</v>
      </c>
      <c r="E763" s="229" t="s">
        <v>22</v>
      </c>
      <c r="F763" s="231">
        <v>789.68</v>
      </c>
      <c r="G763" s="229" t="s">
        <v>1</v>
      </c>
      <c r="H763" s="405">
        <f ca="1">INDEX(PRODUTIVIDADES!$M:$M,MATCH(tbAREAS[[#This Row],[TIPO DE ÁREA]],PRODUTIVIDADES!$B:$B,0)+MATCH(tbAREAS[[#This Row],[LOCALIDADE]],PRODUTIVIDADES!$A:$A,0)-3)*tbAREAS[[#This Row],[ÁREA EM M²]]</f>
        <v>315.87200000000001</v>
      </c>
      <c r="L763" s="391"/>
    </row>
    <row r="764" spans="1:12" hidden="1" x14ac:dyDescent="0.25">
      <c r="A764" s="228" t="s">
        <v>2</v>
      </c>
      <c r="B764" s="234" t="s">
        <v>82</v>
      </c>
      <c r="C764" s="230" t="s">
        <v>312</v>
      </c>
      <c r="D764" s="230" t="s">
        <v>313</v>
      </c>
      <c r="E764" s="229" t="s">
        <v>9</v>
      </c>
      <c r="F764" s="231">
        <v>62.72</v>
      </c>
      <c r="G764" s="229" t="s">
        <v>1</v>
      </c>
      <c r="H764" s="405">
        <f ca="1">INDEX(PRODUTIVIDADES!$M:$M,MATCH(tbAREAS[[#This Row],[TIPO DE ÁREA]],PRODUTIVIDADES!$B:$B,0)+MATCH(tbAREAS[[#This Row],[LOCALIDADE]],PRODUTIVIDADES!$A:$A,0)-3)*tbAREAS[[#This Row],[ÁREA EM M²]]</f>
        <v>489.21600000000001</v>
      </c>
      <c r="L764" s="391"/>
    </row>
    <row r="765" spans="1:12" hidden="1" x14ac:dyDescent="0.25">
      <c r="A765" s="228" t="s">
        <v>2</v>
      </c>
      <c r="B765" s="234" t="s">
        <v>82</v>
      </c>
      <c r="C765" s="230" t="s">
        <v>312</v>
      </c>
      <c r="D765" s="230" t="s">
        <v>313</v>
      </c>
      <c r="E765" s="229" t="s">
        <v>10</v>
      </c>
      <c r="F765" s="231">
        <v>61.17</v>
      </c>
      <c r="G765" s="229" t="s">
        <v>1</v>
      </c>
      <c r="H765" s="405">
        <f ca="1">INDEX(PRODUTIVIDADES!$M:$M,MATCH(tbAREAS[[#This Row],[TIPO DE ÁREA]],PRODUTIVIDADES!$B:$B,0)+MATCH(tbAREAS[[#This Row],[LOCALIDADE]],PRODUTIVIDADES!$A:$A,0)-3)*tbAREAS[[#This Row],[ÁREA EM M²]]</f>
        <v>190.85040000000001</v>
      </c>
      <c r="L765" s="391"/>
    </row>
    <row r="766" spans="1:12" hidden="1" x14ac:dyDescent="0.25">
      <c r="A766" s="228" t="s">
        <v>2</v>
      </c>
      <c r="B766" s="234" t="s">
        <v>82</v>
      </c>
      <c r="C766" s="230" t="s">
        <v>312</v>
      </c>
      <c r="D766" s="230" t="s">
        <v>313</v>
      </c>
      <c r="E766" s="229" t="s">
        <v>14</v>
      </c>
      <c r="F766" s="231">
        <v>393.97</v>
      </c>
      <c r="G766" s="229" t="s">
        <v>1</v>
      </c>
      <c r="H766" s="405">
        <f ca="1">INDEX(PRODUTIVIDADES!$M:$M,MATCH(tbAREAS[[#This Row],[TIPO DE ÁREA]],PRODUTIVIDADES!$B:$B,0)+MATCH(tbAREAS[[#This Row],[LOCALIDADE]],PRODUTIVIDADES!$A:$A,0)-3)*tbAREAS[[#This Row],[ÁREA EM M²]]</f>
        <v>3348.7450000000003</v>
      </c>
      <c r="L766" s="391"/>
    </row>
    <row r="767" spans="1:12" hidden="1" x14ac:dyDescent="0.25">
      <c r="A767" s="228" t="s">
        <v>2</v>
      </c>
      <c r="B767" s="234" t="s">
        <v>82</v>
      </c>
      <c r="C767" s="230" t="s">
        <v>312</v>
      </c>
      <c r="D767" s="230" t="s">
        <v>313</v>
      </c>
      <c r="E767" s="229" t="s">
        <v>17</v>
      </c>
      <c r="F767" s="231">
        <v>52.48</v>
      </c>
      <c r="G767" s="229" t="s">
        <v>1</v>
      </c>
      <c r="H767" s="405">
        <f ca="1">INDEX(PRODUTIVIDADES!$M:$M,MATCH(tbAREAS[[#This Row],[TIPO DE ÁREA]],PRODUTIVIDADES!$B:$B,0)+MATCH(tbAREAS[[#This Row],[LOCALIDADE]],PRODUTIVIDADES!$A:$A,0)-3)*tbAREAS[[#This Row],[ÁREA EM M²]]</f>
        <v>122.80319999999999</v>
      </c>
      <c r="L767" s="391"/>
    </row>
    <row r="768" spans="1:12" hidden="1" x14ac:dyDescent="0.25">
      <c r="A768" s="228" t="s">
        <v>2</v>
      </c>
      <c r="B768" s="234" t="s">
        <v>82</v>
      </c>
      <c r="C768" s="230" t="s">
        <v>312</v>
      </c>
      <c r="D768" s="230" t="s">
        <v>313</v>
      </c>
      <c r="E768" s="229" t="s">
        <v>18</v>
      </c>
      <c r="F768" s="231">
        <v>27.11</v>
      </c>
      <c r="G768" s="229" t="s">
        <v>1</v>
      </c>
      <c r="H768" s="405">
        <f ca="1">INDEX(PRODUTIVIDADES!$M:$M,MATCH(tbAREAS[[#This Row],[TIPO DE ÁREA]],PRODUTIVIDADES!$B:$B,0)+MATCH(tbAREAS[[#This Row],[LOCALIDADE]],PRODUTIVIDADES!$A:$A,0)-3)*tbAREAS[[#This Row],[ÁREA EM M²]]</f>
        <v>1229.4385</v>
      </c>
      <c r="L768" s="391"/>
    </row>
    <row r="769" spans="1:12" hidden="1" x14ac:dyDescent="0.25">
      <c r="A769" s="228" t="s">
        <v>2</v>
      </c>
      <c r="B769" s="234" t="s">
        <v>82</v>
      </c>
      <c r="C769" s="230" t="s">
        <v>312</v>
      </c>
      <c r="D769" s="230" t="s">
        <v>313</v>
      </c>
      <c r="E769" s="229" t="s">
        <v>20</v>
      </c>
      <c r="F769" s="231">
        <v>25.48</v>
      </c>
      <c r="G769" s="229" t="s">
        <v>1</v>
      </c>
      <c r="H769" s="405">
        <f ca="1">INDEX(PRODUTIVIDADES!$M:$M,MATCH(tbAREAS[[#This Row],[TIPO DE ÁREA]],PRODUTIVIDADES!$B:$B,0)+MATCH(tbAREAS[[#This Row],[LOCALIDADE]],PRODUTIVIDADES!$A:$A,0)-3)*tbAREAS[[#This Row],[ÁREA EM M²]]</f>
        <v>19.874400000000001</v>
      </c>
      <c r="L769" s="391"/>
    </row>
    <row r="770" spans="1:12" hidden="1" x14ac:dyDescent="0.25">
      <c r="A770" s="228" t="s">
        <v>2</v>
      </c>
      <c r="B770" s="234" t="s">
        <v>82</v>
      </c>
      <c r="C770" s="230" t="s">
        <v>312</v>
      </c>
      <c r="D770" s="230" t="s">
        <v>313</v>
      </c>
      <c r="E770" s="229" t="s">
        <v>21</v>
      </c>
      <c r="F770" s="231">
        <v>28.48</v>
      </c>
      <c r="G770" s="229" t="s">
        <v>1</v>
      </c>
      <c r="H770" s="405">
        <f ca="1">INDEX(PRODUTIVIDADES!$M:$M,MATCH(tbAREAS[[#This Row],[TIPO DE ÁREA]],PRODUTIVIDADES!$B:$B,0)+MATCH(tbAREAS[[#This Row],[LOCALIDADE]],PRODUTIVIDADES!$A:$A,0)-3)*tbAREAS[[#This Row],[ÁREA EM M²]]</f>
        <v>4.8416000000000006</v>
      </c>
      <c r="L770" s="391"/>
    </row>
    <row r="771" spans="1:12" hidden="1" x14ac:dyDescent="0.25">
      <c r="A771" s="228" t="s">
        <v>2</v>
      </c>
      <c r="B771" s="234" t="s">
        <v>82</v>
      </c>
      <c r="C771" s="230" t="s">
        <v>312</v>
      </c>
      <c r="D771" s="230" t="s">
        <v>313</v>
      </c>
      <c r="E771" s="229" t="s">
        <v>22</v>
      </c>
      <c r="F771" s="231">
        <v>28.48</v>
      </c>
      <c r="G771" s="229" t="s">
        <v>1</v>
      </c>
      <c r="H771" s="405">
        <f ca="1">INDEX(PRODUTIVIDADES!$M:$M,MATCH(tbAREAS[[#This Row],[TIPO DE ÁREA]],PRODUTIVIDADES!$B:$B,0)+MATCH(tbAREAS[[#This Row],[LOCALIDADE]],PRODUTIVIDADES!$A:$A,0)-3)*tbAREAS[[#This Row],[ÁREA EM M²]]</f>
        <v>11.392000000000001</v>
      </c>
      <c r="L771" s="391"/>
    </row>
    <row r="772" spans="1:12" hidden="1" x14ac:dyDescent="0.25">
      <c r="A772" s="228" t="s">
        <v>2</v>
      </c>
      <c r="B772" s="234" t="s">
        <v>82</v>
      </c>
      <c r="C772" s="230" t="s">
        <v>314</v>
      </c>
      <c r="D772" s="230" t="s">
        <v>315</v>
      </c>
      <c r="E772" s="229" t="s">
        <v>10</v>
      </c>
      <c r="F772" s="231">
        <v>250.17</v>
      </c>
      <c r="G772" s="229" t="s">
        <v>1</v>
      </c>
      <c r="H772" s="405">
        <f ca="1">INDEX(PRODUTIVIDADES!$M:$M,MATCH(tbAREAS[[#This Row],[TIPO DE ÁREA]],PRODUTIVIDADES!$B:$B,0)+MATCH(tbAREAS[[#This Row],[LOCALIDADE]],PRODUTIVIDADES!$A:$A,0)-3)*tbAREAS[[#This Row],[ÁREA EM M²]]</f>
        <v>780.53039999999999</v>
      </c>
      <c r="L772" s="391"/>
    </row>
    <row r="773" spans="1:12" hidden="1" x14ac:dyDescent="0.25">
      <c r="A773" s="228" t="s">
        <v>2</v>
      </c>
      <c r="B773" s="234" t="s">
        <v>82</v>
      </c>
      <c r="C773" s="230" t="s">
        <v>314</v>
      </c>
      <c r="D773" s="230" t="s">
        <v>315</v>
      </c>
      <c r="E773" s="229" t="s">
        <v>14</v>
      </c>
      <c r="F773" s="231">
        <v>424.09</v>
      </c>
      <c r="G773" s="229" t="s">
        <v>1</v>
      </c>
      <c r="H773" s="405">
        <f ca="1">INDEX(PRODUTIVIDADES!$M:$M,MATCH(tbAREAS[[#This Row],[TIPO DE ÁREA]],PRODUTIVIDADES!$B:$B,0)+MATCH(tbAREAS[[#This Row],[LOCALIDADE]],PRODUTIVIDADES!$A:$A,0)-3)*tbAREAS[[#This Row],[ÁREA EM M²]]</f>
        <v>3604.7649999999999</v>
      </c>
      <c r="L773" s="391"/>
    </row>
    <row r="774" spans="1:12" hidden="1" x14ac:dyDescent="0.25">
      <c r="A774" s="228" t="s">
        <v>2</v>
      </c>
      <c r="B774" s="234" t="s">
        <v>82</v>
      </c>
      <c r="C774" s="230" t="s">
        <v>314</v>
      </c>
      <c r="D774" s="230" t="s">
        <v>315</v>
      </c>
      <c r="E774" s="229" t="s">
        <v>15</v>
      </c>
      <c r="F774" s="231">
        <v>79.84</v>
      </c>
      <c r="G774" s="229" t="s">
        <v>1</v>
      </c>
      <c r="H774" s="405">
        <f ca="1">INDEX(PRODUTIVIDADES!$M:$M,MATCH(tbAREAS[[#This Row],[TIPO DE ÁREA]],PRODUTIVIDADES!$B:$B,0)+MATCH(tbAREAS[[#This Row],[LOCALIDADE]],PRODUTIVIDADES!$A:$A,0)-3)*tbAREAS[[#This Row],[ÁREA EM M²]]</f>
        <v>55.089599999999997</v>
      </c>
      <c r="L774" s="391"/>
    </row>
    <row r="775" spans="1:12" hidden="1" x14ac:dyDescent="0.25">
      <c r="A775" s="228" t="s">
        <v>2</v>
      </c>
      <c r="B775" s="234" t="s">
        <v>82</v>
      </c>
      <c r="C775" s="230" t="s">
        <v>314</v>
      </c>
      <c r="D775" s="230" t="s">
        <v>315</v>
      </c>
      <c r="E775" s="229" t="s">
        <v>17</v>
      </c>
      <c r="F775" s="231">
        <v>220.32</v>
      </c>
      <c r="G775" s="229" t="s">
        <v>1</v>
      </c>
      <c r="H775" s="405">
        <f ca="1">INDEX(PRODUTIVIDADES!$M:$M,MATCH(tbAREAS[[#This Row],[TIPO DE ÁREA]],PRODUTIVIDADES!$B:$B,0)+MATCH(tbAREAS[[#This Row],[LOCALIDADE]],PRODUTIVIDADES!$A:$A,0)-3)*tbAREAS[[#This Row],[ÁREA EM M²]]</f>
        <v>515.54879999999991</v>
      </c>
      <c r="L775" s="391"/>
    </row>
    <row r="776" spans="1:12" hidden="1" x14ac:dyDescent="0.25">
      <c r="A776" s="228" t="s">
        <v>2</v>
      </c>
      <c r="B776" s="234" t="s">
        <v>82</v>
      </c>
      <c r="C776" s="230" t="s">
        <v>314</v>
      </c>
      <c r="D776" s="230" t="s">
        <v>315</v>
      </c>
      <c r="E776" s="229" t="s">
        <v>18</v>
      </c>
      <c r="F776" s="231">
        <v>42.5</v>
      </c>
      <c r="G776" s="229" t="s">
        <v>1</v>
      </c>
      <c r="H776" s="405">
        <f ca="1">INDEX(PRODUTIVIDADES!$M:$M,MATCH(tbAREAS[[#This Row],[TIPO DE ÁREA]],PRODUTIVIDADES!$B:$B,0)+MATCH(tbAREAS[[#This Row],[LOCALIDADE]],PRODUTIVIDADES!$A:$A,0)-3)*tbAREAS[[#This Row],[ÁREA EM M²]]</f>
        <v>1927.375</v>
      </c>
      <c r="L776" s="391"/>
    </row>
    <row r="777" spans="1:12" hidden="1" x14ac:dyDescent="0.25">
      <c r="A777" s="228" t="s">
        <v>2</v>
      </c>
      <c r="B777" s="234" t="s">
        <v>82</v>
      </c>
      <c r="C777" s="230" t="s">
        <v>314</v>
      </c>
      <c r="D777" s="230" t="s">
        <v>315</v>
      </c>
      <c r="E777" s="229" t="s">
        <v>20</v>
      </c>
      <c r="F777" s="231">
        <v>78</v>
      </c>
      <c r="G777" s="229" t="s">
        <v>1</v>
      </c>
      <c r="H777" s="405">
        <f ca="1">INDEX(PRODUTIVIDADES!$M:$M,MATCH(tbAREAS[[#This Row],[TIPO DE ÁREA]],PRODUTIVIDADES!$B:$B,0)+MATCH(tbAREAS[[#This Row],[LOCALIDADE]],PRODUTIVIDADES!$A:$A,0)-3)*tbAREAS[[#This Row],[ÁREA EM M²]]</f>
        <v>60.84</v>
      </c>
      <c r="L777" s="391"/>
    </row>
    <row r="778" spans="1:12" hidden="1" x14ac:dyDescent="0.25">
      <c r="A778" s="228" t="s">
        <v>2</v>
      </c>
      <c r="B778" s="234" t="s">
        <v>82</v>
      </c>
      <c r="C778" s="230" t="s">
        <v>314</v>
      </c>
      <c r="D778" s="230" t="s">
        <v>315</v>
      </c>
      <c r="E778" s="229" t="s">
        <v>21</v>
      </c>
      <c r="F778" s="231">
        <v>270.83999999999997</v>
      </c>
      <c r="G778" s="229" t="s">
        <v>1</v>
      </c>
      <c r="H778" s="405">
        <f ca="1">INDEX(PRODUTIVIDADES!$M:$M,MATCH(tbAREAS[[#This Row],[TIPO DE ÁREA]],PRODUTIVIDADES!$B:$B,0)+MATCH(tbAREAS[[#This Row],[LOCALIDADE]],PRODUTIVIDADES!$A:$A,0)-3)*tbAREAS[[#This Row],[ÁREA EM M²]]</f>
        <v>46.0428</v>
      </c>
      <c r="L778" s="391"/>
    </row>
    <row r="779" spans="1:12" hidden="1" x14ac:dyDescent="0.25">
      <c r="A779" s="228" t="s">
        <v>2</v>
      </c>
      <c r="B779" s="234" t="s">
        <v>82</v>
      </c>
      <c r="C779" s="230" t="s">
        <v>314</v>
      </c>
      <c r="D779" s="230" t="s">
        <v>315</v>
      </c>
      <c r="E779" s="229" t="s">
        <v>22</v>
      </c>
      <c r="F779" s="231">
        <v>270.83999999999997</v>
      </c>
      <c r="G779" s="229" t="s">
        <v>1</v>
      </c>
      <c r="H779" s="405">
        <f ca="1">INDEX(PRODUTIVIDADES!$M:$M,MATCH(tbAREAS[[#This Row],[TIPO DE ÁREA]],PRODUTIVIDADES!$B:$B,0)+MATCH(tbAREAS[[#This Row],[LOCALIDADE]],PRODUTIVIDADES!$A:$A,0)-3)*tbAREAS[[#This Row],[ÁREA EM M²]]</f>
        <v>108.336</v>
      </c>
      <c r="L779" s="391"/>
    </row>
    <row r="780" spans="1:12" hidden="1" x14ac:dyDescent="0.25">
      <c r="A780" s="228" t="s">
        <v>2</v>
      </c>
      <c r="B780" s="234" t="s">
        <v>82</v>
      </c>
      <c r="C780" s="230" t="s">
        <v>316</v>
      </c>
      <c r="D780" s="230" t="s">
        <v>317</v>
      </c>
      <c r="E780" s="229" t="s">
        <v>9</v>
      </c>
      <c r="F780" s="231">
        <v>1458.5</v>
      </c>
      <c r="G780" s="229" t="s">
        <v>1</v>
      </c>
      <c r="H780" s="405">
        <f ca="1">INDEX(PRODUTIVIDADES!$M:$M,MATCH(tbAREAS[[#This Row],[TIPO DE ÁREA]],PRODUTIVIDADES!$B:$B,0)+MATCH(tbAREAS[[#This Row],[LOCALIDADE]],PRODUTIVIDADES!$A:$A,0)-3)*tbAREAS[[#This Row],[ÁREA EM M²]]</f>
        <v>11376.3</v>
      </c>
      <c r="L780" s="391"/>
    </row>
    <row r="781" spans="1:12" hidden="1" x14ac:dyDescent="0.25">
      <c r="A781" s="228" t="s">
        <v>2</v>
      </c>
      <c r="B781" s="234" t="s">
        <v>82</v>
      </c>
      <c r="C781" s="230" t="s">
        <v>316</v>
      </c>
      <c r="D781" s="230" t="s">
        <v>317</v>
      </c>
      <c r="E781" s="229" t="s">
        <v>10</v>
      </c>
      <c r="F781" s="231">
        <v>346.7</v>
      </c>
      <c r="G781" s="229" t="s">
        <v>1</v>
      </c>
      <c r="H781" s="405">
        <f ca="1">INDEX(PRODUTIVIDADES!$M:$M,MATCH(tbAREAS[[#This Row],[TIPO DE ÁREA]],PRODUTIVIDADES!$B:$B,0)+MATCH(tbAREAS[[#This Row],[LOCALIDADE]],PRODUTIVIDADES!$A:$A,0)-3)*tbAREAS[[#This Row],[ÁREA EM M²]]</f>
        <v>1081.704</v>
      </c>
      <c r="L781" s="391"/>
    </row>
    <row r="782" spans="1:12" hidden="1" x14ac:dyDescent="0.25">
      <c r="A782" s="228" t="s">
        <v>2</v>
      </c>
      <c r="B782" s="234" t="s">
        <v>82</v>
      </c>
      <c r="C782" s="230" t="s">
        <v>316</v>
      </c>
      <c r="D782" s="230" t="s">
        <v>317</v>
      </c>
      <c r="E782" s="229" t="s">
        <v>13</v>
      </c>
      <c r="F782" s="231">
        <v>195.42</v>
      </c>
      <c r="G782" s="229" t="s">
        <v>1</v>
      </c>
      <c r="H782" s="405">
        <f ca="1">INDEX(PRODUTIVIDADES!$M:$M,MATCH(tbAREAS[[#This Row],[TIPO DE ÁREA]],PRODUTIVIDADES!$B:$B,0)+MATCH(tbAREAS[[#This Row],[LOCALIDADE]],PRODUTIVIDADES!$A:$A,0)-3)*tbAREAS[[#This Row],[ÁREA EM M²]]</f>
        <v>609.71039999999994</v>
      </c>
      <c r="L782" s="391"/>
    </row>
    <row r="783" spans="1:12" hidden="1" x14ac:dyDescent="0.25">
      <c r="A783" s="228" t="s">
        <v>2</v>
      </c>
      <c r="B783" s="234" t="s">
        <v>82</v>
      </c>
      <c r="C783" s="230" t="s">
        <v>316</v>
      </c>
      <c r="D783" s="230" t="s">
        <v>317</v>
      </c>
      <c r="E783" s="229" t="s">
        <v>14</v>
      </c>
      <c r="F783" s="231">
        <v>157.83000000000001</v>
      </c>
      <c r="G783" s="229" t="s">
        <v>1</v>
      </c>
      <c r="H783" s="405">
        <f ca="1">INDEX(PRODUTIVIDADES!$M:$M,MATCH(tbAREAS[[#This Row],[TIPO DE ÁREA]],PRODUTIVIDADES!$B:$B,0)+MATCH(tbAREAS[[#This Row],[LOCALIDADE]],PRODUTIVIDADES!$A:$A,0)-3)*tbAREAS[[#This Row],[ÁREA EM M²]]</f>
        <v>1341.5550000000001</v>
      </c>
      <c r="L783" s="391"/>
    </row>
    <row r="784" spans="1:12" hidden="1" x14ac:dyDescent="0.25">
      <c r="A784" s="228" t="s">
        <v>2</v>
      </c>
      <c r="B784" s="234" t="s">
        <v>82</v>
      </c>
      <c r="C784" s="230" t="s">
        <v>316</v>
      </c>
      <c r="D784" s="230" t="s">
        <v>317</v>
      </c>
      <c r="E784" s="229" t="s">
        <v>17</v>
      </c>
      <c r="F784" s="231">
        <v>1127.8</v>
      </c>
      <c r="G784" s="229" t="s">
        <v>1</v>
      </c>
      <c r="H784" s="405">
        <f ca="1">INDEX(PRODUTIVIDADES!$M:$M,MATCH(tbAREAS[[#This Row],[TIPO DE ÁREA]],PRODUTIVIDADES!$B:$B,0)+MATCH(tbAREAS[[#This Row],[LOCALIDADE]],PRODUTIVIDADES!$A:$A,0)-3)*tbAREAS[[#This Row],[ÁREA EM M²]]</f>
        <v>2639.0519999999997</v>
      </c>
      <c r="L784" s="391"/>
    </row>
    <row r="785" spans="1:12" hidden="1" x14ac:dyDescent="0.25">
      <c r="A785" s="228" t="s">
        <v>2</v>
      </c>
      <c r="B785" s="234" t="s">
        <v>82</v>
      </c>
      <c r="C785" s="230" t="s">
        <v>316</v>
      </c>
      <c r="D785" s="230" t="s">
        <v>317</v>
      </c>
      <c r="E785" s="229" t="s">
        <v>18</v>
      </c>
      <c r="F785" s="231">
        <v>139.49</v>
      </c>
      <c r="G785" s="229" t="s">
        <v>1</v>
      </c>
      <c r="H785" s="405">
        <f ca="1">INDEX(PRODUTIVIDADES!$M:$M,MATCH(tbAREAS[[#This Row],[TIPO DE ÁREA]],PRODUTIVIDADES!$B:$B,0)+MATCH(tbAREAS[[#This Row],[LOCALIDADE]],PRODUTIVIDADES!$A:$A,0)-3)*tbAREAS[[#This Row],[ÁREA EM M²]]</f>
        <v>6325.8715000000002</v>
      </c>
      <c r="L785" s="391"/>
    </row>
    <row r="786" spans="1:12" hidden="1" x14ac:dyDescent="0.25">
      <c r="A786" s="228" t="s">
        <v>2</v>
      </c>
      <c r="B786" s="234" t="s">
        <v>82</v>
      </c>
      <c r="C786" s="230" t="s">
        <v>316</v>
      </c>
      <c r="D786" s="230" t="s">
        <v>317</v>
      </c>
      <c r="E786" s="229" t="s">
        <v>20</v>
      </c>
      <c r="F786" s="231">
        <v>60.55</v>
      </c>
      <c r="G786" s="229" t="s">
        <v>1</v>
      </c>
      <c r="H786" s="405">
        <f ca="1">INDEX(PRODUTIVIDADES!$M:$M,MATCH(tbAREAS[[#This Row],[TIPO DE ÁREA]],PRODUTIVIDADES!$B:$B,0)+MATCH(tbAREAS[[#This Row],[LOCALIDADE]],PRODUTIVIDADES!$A:$A,0)-3)*tbAREAS[[#This Row],[ÁREA EM M²]]</f>
        <v>47.228999999999999</v>
      </c>
      <c r="L786" s="391"/>
    </row>
    <row r="787" spans="1:12" hidden="1" x14ac:dyDescent="0.25">
      <c r="A787" s="228" t="s">
        <v>2</v>
      </c>
      <c r="B787" s="234" t="s">
        <v>82</v>
      </c>
      <c r="C787" s="230" t="s">
        <v>316</v>
      </c>
      <c r="D787" s="230" t="s">
        <v>317</v>
      </c>
      <c r="E787" s="229" t="s">
        <v>21</v>
      </c>
      <c r="F787" s="231">
        <v>576</v>
      </c>
      <c r="G787" s="229" t="s">
        <v>1</v>
      </c>
      <c r="H787" s="405">
        <f ca="1">INDEX(PRODUTIVIDADES!$M:$M,MATCH(tbAREAS[[#This Row],[TIPO DE ÁREA]],PRODUTIVIDADES!$B:$B,0)+MATCH(tbAREAS[[#This Row],[LOCALIDADE]],PRODUTIVIDADES!$A:$A,0)-3)*tbAREAS[[#This Row],[ÁREA EM M²]]</f>
        <v>97.92</v>
      </c>
      <c r="L787" s="391"/>
    </row>
    <row r="788" spans="1:12" hidden="1" x14ac:dyDescent="0.25">
      <c r="A788" s="228" t="s">
        <v>2</v>
      </c>
      <c r="B788" s="234" t="s">
        <v>82</v>
      </c>
      <c r="C788" s="230" t="s">
        <v>316</v>
      </c>
      <c r="D788" s="230" t="s">
        <v>317</v>
      </c>
      <c r="E788" s="229" t="s">
        <v>22</v>
      </c>
      <c r="F788" s="231">
        <v>576</v>
      </c>
      <c r="G788" s="229" t="s">
        <v>1</v>
      </c>
      <c r="H788" s="405">
        <f ca="1">INDEX(PRODUTIVIDADES!$M:$M,MATCH(tbAREAS[[#This Row],[TIPO DE ÁREA]],PRODUTIVIDADES!$B:$B,0)+MATCH(tbAREAS[[#This Row],[LOCALIDADE]],PRODUTIVIDADES!$A:$A,0)-3)*tbAREAS[[#This Row],[ÁREA EM M²]]</f>
        <v>230.4</v>
      </c>
      <c r="L788" s="391"/>
    </row>
    <row r="789" spans="1:12" hidden="1" x14ac:dyDescent="0.25">
      <c r="A789" s="228" t="s">
        <v>2</v>
      </c>
      <c r="B789" s="234" t="s">
        <v>82</v>
      </c>
      <c r="C789" s="230" t="s">
        <v>318</v>
      </c>
      <c r="D789" s="230" t="s">
        <v>319</v>
      </c>
      <c r="E789" s="229" t="s">
        <v>9</v>
      </c>
      <c r="F789" s="231">
        <v>209.64</v>
      </c>
      <c r="G789" s="229" t="s">
        <v>1</v>
      </c>
      <c r="H789" s="405">
        <f ca="1">INDEX(PRODUTIVIDADES!$M:$M,MATCH(tbAREAS[[#This Row],[TIPO DE ÁREA]],PRODUTIVIDADES!$B:$B,0)+MATCH(tbAREAS[[#This Row],[LOCALIDADE]],PRODUTIVIDADES!$A:$A,0)-3)*tbAREAS[[#This Row],[ÁREA EM M²]]</f>
        <v>1635.1919999999998</v>
      </c>
      <c r="L789" s="391"/>
    </row>
    <row r="790" spans="1:12" hidden="1" x14ac:dyDescent="0.25">
      <c r="A790" s="228" t="s">
        <v>2</v>
      </c>
      <c r="B790" s="234" t="s">
        <v>82</v>
      </c>
      <c r="C790" s="230" t="s">
        <v>318</v>
      </c>
      <c r="D790" s="230" t="s">
        <v>319</v>
      </c>
      <c r="E790" s="229" t="s">
        <v>10</v>
      </c>
      <c r="F790" s="231">
        <v>2093.89</v>
      </c>
      <c r="G790" s="229" t="s">
        <v>1</v>
      </c>
      <c r="H790" s="405">
        <f ca="1">INDEX(PRODUTIVIDADES!$M:$M,MATCH(tbAREAS[[#This Row],[TIPO DE ÁREA]],PRODUTIVIDADES!$B:$B,0)+MATCH(tbAREAS[[#This Row],[LOCALIDADE]],PRODUTIVIDADES!$A:$A,0)-3)*tbAREAS[[#This Row],[ÁREA EM M²]]</f>
        <v>6532.9367999999995</v>
      </c>
      <c r="L790" s="391"/>
    </row>
    <row r="791" spans="1:12" hidden="1" x14ac:dyDescent="0.25">
      <c r="A791" s="228" t="s">
        <v>2</v>
      </c>
      <c r="B791" s="234" t="s">
        <v>82</v>
      </c>
      <c r="C791" s="230" t="s">
        <v>318</v>
      </c>
      <c r="D791" s="230" t="s">
        <v>319</v>
      </c>
      <c r="E791" s="229" t="s">
        <v>14</v>
      </c>
      <c r="F791" s="231">
        <v>3941.59</v>
      </c>
      <c r="G791" s="229" t="s">
        <v>1</v>
      </c>
      <c r="H791" s="405">
        <f ca="1">INDEX(PRODUTIVIDADES!$M:$M,MATCH(tbAREAS[[#This Row],[TIPO DE ÁREA]],PRODUTIVIDADES!$B:$B,0)+MATCH(tbAREAS[[#This Row],[LOCALIDADE]],PRODUTIVIDADES!$A:$A,0)-3)*tbAREAS[[#This Row],[ÁREA EM M²]]</f>
        <v>33503.514999999999</v>
      </c>
      <c r="L791" s="391"/>
    </row>
    <row r="792" spans="1:12" hidden="1" x14ac:dyDescent="0.25">
      <c r="A792" s="228" t="s">
        <v>2</v>
      </c>
      <c r="B792" s="234" t="s">
        <v>82</v>
      </c>
      <c r="C792" s="230" t="s">
        <v>318</v>
      </c>
      <c r="D792" s="230" t="s">
        <v>319</v>
      </c>
      <c r="E792" s="229" t="s">
        <v>17</v>
      </c>
      <c r="F792" s="231">
        <v>1110.3699999999999</v>
      </c>
      <c r="G792" s="229" t="s">
        <v>1</v>
      </c>
      <c r="H792" s="405">
        <f ca="1">INDEX(PRODUTIVIDADES!$M:$M,MATCH(tbAREAS[[#This Row],[TIPO DE ÁREA]],PRODUTIVIDADES!$B:$B,0)+MATCH(tbAREAS[[#This Row],[LOCALIDADE]],PRODUTIVIDADES!$A:$A,0)-3)*tbAREAS[[#This Row],[ÁREA EM M²]]</f>
        <v>2598.2657999999997</v>
      </c>
      <c r="L792" s="391"/>
    </row>
    <row r="793" spans="1:12" hidden="1" x14ac:dyDescent="0.25">
      <c r="A793" s="228" t="s">
        <v>2</v>
      </c>
      <c r="B793" s="234" t="s">
        <v>82</v>
      </c>
      <c r="C793" s="230" t="s">
        <v>318</v>
      </c>
      <c r="D793" s="230" t="s">
        <v>319</v>
      </c>
      <c r="E793" s="229" t="s">
        <v>18</v>
      </c>
      <c r="F793" s="231">
        <v>100.15</v>
      </c>
      <c r="G793" s="229" t="s">
        <v>1</v>
      </c>
      <c r="H793" s="405">
        <f ca="1">INDEX(PRODUTIVIDADES!$M:$M,MATCH(tbAREAS[[#This Row],[TIPO DE ÁREA]],PRODUTIVIDADES!$B:$B,0)+MATCH(tbAREAS[[#This Row],[LOCALIDADE]],PRODUTIVIDADES!$A:$A,0)-3)*tbAREAS[[#This Row],[ÁREA EM M²]]</f>
        <v>4541.8025000000007</v>
      </c>
      <c r="L793" s="391"/>
    </row>
    <row r="794" spans="1:12" hidden="1" x14ac:dyDescent="0.25">
      <c r="A794" s="228" t="s">
        <v>2</v>
      </c>
      <c r="B794" s="234" t="s">
        <v>82</v>
      </c>
      <c r="C794" s="230" t="s">
        <v>318</v>
      </c>
      <c r="D794" s="230" t="s">
        <v>319</v>
      </c>
      <c r="E794" s="229" t="s">
        <v>20</v>
      </c>
      <c r="F794" s="231">
        <v>302.89999999999998</v>
      </c>
      <c r="G794" s="229" t="s">
        <v>1</v>
      </c>
      <c r="H794" s="405">
        <f ca="1">INDEX(PRODUTIVIDADES!$M:$M,MATCH(tbAREAS[[#This Row],[TIPO DE ÁREA]],PRODUTIVIDADES!$B:$B,0)+MATCH(tbAREAS[[#This Row],[LOCALIDADE]],PRODUTIVIDADES!$A:$A,0)-3)*tbAREAS[[#This Row],[ÁREA EM M²]]</f>
        <v>236.262</v>
      </c>
      <c r="L794" s="391"/>
    </row>
    <row r="795" spans="1:12" hidden="1" x14ac:dyDescent="0.25">
      <c r="A795" s="228" t="s">
        <v>2</v>
      </c>
      <c r="B795" s="234" t="s">
        <v>82</v>
      </c>
      <c r="C795" s="230" t="s">
        <v>318</v>
      </c>
      <c r="D795" s="230" t="s">
        <v>319</v>
      </c>
      <c r="E795" s="229" t="s">
        <v>21</v>
      </c>
      <c r="F795" s="231">
        <v>1430.02</v>
      </c>
      <c r="G795" s="229" t="s">
        <v>1</v>
      </c>
      <c r="H795" s="405">
        <f ca="1">INDEX(PRODUTIVIDADES!$M:$M,MATCH(tbAREAS[[#This Row],[TIPO DE ÁREA]],PRODUTIVIDADES!$B:$B,0)+MATCH(tbAREAS[[#This Row],[LOCALIDADE]],PRODUTIVIDADES!$A:$A,0)-3)*tbAREAS[[#This Row],[ÁREA EM M²]]</f>
        <v>243.10340000000002</v>
      </c>
      <c r="L795" s="391"/>
    </row>
    <row r="796" spans="1:12" hidden="1" x14ac:dyDescent="0.25">
      <c r="A796" s="228" t="s">
        <v>2</v>
      </c>
      <c r="B796" s="234" t="s">
        <v>82</v>
      </c>
      <c r="C796" s="230" t="s">
        <v>318</v>
      </c>
      <c r="D796" s="230" t="s">
        <v>319</v>
      </c>
      <c r="E796" s="229" t="s">
        <v>22</v>
      </c>
      <c r="F796" s="231">
        <v>1430.02</v>
      </c>
      <c r="G796" s="229" t="s">
        <v>1</v>
      </c>
      <c r="H796" s="405">
        <f ca="1">INDEX(PRODUTIVIDADES!$M:$M,MATCH(tbAREAS[[#This Row],[TIPO DE ÁREA]],PRODUTIVIDADES!$B:$B,0)+MATCH(tbAREAS[[#This Row],[LOCALIDADE]],PRODUTIVIDADES!$A:$A,0)-3)*tbAREAS[[#This Row],[ÁREA EM M²]]</f>
        <v>572.00800000000004</v>
      </c>
      <c r="L796" s="391"/>
    </row>
    <row r="797" spans="1:12" hidden="1" x14ac:dyDescent="0.25">
      <c r="A797" s="228" t="s">
        <v>2</v>
      </c>
      <c r="B797" s="234" t="s">
        <v>82</v>
      </c>
      <c r="C797" s="230" t="s">
        <v>320</v>
      </c>
      <c r="D797" s="230" t="s">
        <v>321</v>
      </c>
      <c r="E797" s="229" t="s">
        <v>10</v>
      </c>
      <c r="F797" s="231">
        <v>318.14</v>
      </c>
      <c r="G797" s="229" t="s">
        <v>1</v>
      </c>
      <c r="H797" s="405">
        <f ca="1">INDEX(PRODUTIVIDADES!$M:$M,MATCH(tbAREAS[[#This Row],[TIPO DE ÁREA]],PRODUTIVIDADES!$B:$B,0)+MATCH(tbAREAS[[#This Row],[LOCALIDADE]],PRODUTIVIDADES!$A:$A,0)-3)*tbAREAS[[#This Row],[ÁREA EM M²]]</f>
        <v>992.59680000000003</v>
      </c>
      <c r="L797" s="391"/>
    </row>
    <row r="798" spans="1:12" hidden="1" x14ac:dyDescent="0.25">
      <c r="A798" s="228" t="s">
        <v>2</v>
      </c>
      <c r="B798" s="234" t="s">
        <v>82</v>
      </c>
      <c r="C798" s="230" t="s">
        <v>320</v>
      </c>
      <c r="D798" s="230" t="s">
        <v>321</v>
      </c>
      <c r="E798" s="229" t="s">
        <v>14</v>
      </c>
      <c r="F798" s="231">
        <v>201.5</v>
      </c>
      <c r="G798" s="229" t="s">
        <v>1</v>
      </c>
      <c r="H798" s="405">
        <f ca="1">INDEX(PRODUTIVIDADES!$M:$M,MATCH(tbAREAS[[#This Row],[TIPO DE ÁREA]],PRODUTIVIDADES!$B:$B,0)+MATCH(tbAREAS[[#This Row],[LOCALIDADE]],PRODUTIVIDADES!$A:$A,0)-3)*tbAREAS[[#This Row],[ÁREA EM M²]]</f>
        <v>1712.75</v>
      </c>
      <c r="L798" s="391"/>
    </row>
    <row r="799" spans="1:12" hidden="1" x14ac:dyDescent="0.25">
      <c r="A799" s="228" t="s">
        <v>2</v>
      </c>
      <c r="B799" s="234" t="s">
        <v>82</v>
      </c>
      <c r="C799" s="230" t="s">
        <v>320</v>
      </c>
      <c r="D799" s="230" t="s">
        <v>321</v>
      </c>
      <c r="E799" s="229" t="s">
        <v>15</v>
      </c>
      <c r="F799" s="231">
        <v>199.25</v>
      </c>
      <c r="G799" s="229" t="s">
        <v>1</v>
      </c>
      <c r="H799" s="405">
        <f ca="1">INDEX(PRODUTIVIDADES!$M:$M,MATCH(tbAREAS[[#This Row],[TIPO DE ÁREA]],PRODUTIVIDADES!$B:$B,0)+MATCH(tbAREAS[[#This Row],[LOCALIDADE]],PRODUTIVIDADES!$A:$A,0)-3)*tbAREAS[[#This Row],[ÁREA EM M²]]</f>
        <v>137.48249999999999</v>
      </c>
      <c r="L799" s="391"/>
    </row>
    <row r="800" spans="1:12" hidden="1" x14ac:dyDescent="0.25">
      <c r="A800" s="228" t="s">
        <v>2</v>
      </c>
      <c r="B800" s="234" t="s">
        <v>82</v>
      </c>
      <c r="C800" s="230" t="s">
        <v>320</v>
      </c>
      <c r="D800" s="230" t="s">
        <v>321</v>
      </c>
      <c r="E800" s="229" t="s">
        <v>17</v>
      </c>
      <c r="F800" s="231">
        <v>201.27</v>
      </c>
      <c r="G800" s="229" t="s">
        <v>1</v>
      </c>
      <c r="H800" s="405">
        <f ca="1">INDEX(PRODUTIVIDADES!$M:$M,MATCH(tbAREAS[[#This Row],[TIPO DE ÁREA]],PRODUTIVIDADES!$B:$B,0)+MATCH(tbAREAS[[#This Row],[LOCALIDADE]],PRODUTIVIDADES!$A:$A,0)-3)*tbAREAS[[#This Row],[ÁREA EM M²]]</f>
        <v>470.97179999999997</v>
      </c>
      <c r="L800" s="391"/>
    </row>
    <row r="801" spans="1:12" hidden="1" x14ac:dyDescent="0.25">
      <c r="A801" s="228" t="s">
        <v>2</v>
      </c>
      <c r="B801" s="234" t="s">
        <v>82</v>
      </c>
      <c r="C801" s="230" t="s">
        <v>320</v>
      </c>
      <c r="D801" s="230" t="s">
        <v>321</v>
      </c>
      <c r="E801" s="229" t="s">
        <v>18</v>
      </c>
      <c r="F801" s="231">
        <v>10.88</v>
      </c>
      <c r="G801" s="229" t="s">
        <v>1</v>
      </c>
      <c r="H801" s="405">
        <f ca="1">INDEX(PRODUTIVIDADES!$M:$M,MATCH(tbAREAS[[#This Row],[TIPO DE ÁREA]],PRODUTIVIDADES!$B:$B,0)+MATCH(tbAREAS[[#This Row],[LOCALIDADE]],PRODUTIVIDADES!$A:$A,0)-3)*tbAREAS[[#This Row],[ÁREA EM M²]]</f>
        <v>493.40800000000007</v>
      </c>
      <c r="L801" s="391"/>
    </row>
    <row r="802" spans="1:12" hidden="1" x14ac:dyDescent="0.25">
      <c r="A802" s="228" t="s">
        <v>2</v>
      </c>
      <c r="B802" s="234" t="s">
        <v>82</v>
      </c>
      <c r="C802" s="230" t="s">
        <v>322</v>
      </c>
      <c r="D802" s="230" t="s">
        <v>323</v>
      </c>
      <c r="E802" s="229" t="s">
        <v>10</v>
      </c>
      <c r="F802" s="231">
        <v>238</v>
      </c>
      <c r="G802" s="229" t="s">
        <v>1</v>
      </c>
      <c r="H802" s="405">
        <f ca="1">INDEX(PRODUTIVIDADES!$M:$M,MATCH(tbAREAS[[#This Row],[TIPO DE ÁREA]],PRODUTIVIDADES!$B:$B,0)+MATCH(tbAREAS[[#This Row],[LOCALIDADE]],PRODUTIVIDADES!$A:$A,0)-3)*tbAREAS[[#This Row],[ÁREA EM M²]]</f>
        <v>742.56000000000006</v>
      </c>
      <c r="L802" s="391"/>
    </row>
    <row r="803" spans="1:12" hidden="1" x14ac:dyDescent="0.25">
      <c r="A803" s="228" t="s">
        <v>2</v>
      </c>
      <c r="B803" s="234" t="s">
        <v>82</v>
      </c>
      <c r="C803" s="230" t="s">
        <v>322</v>
      </c>
      <c r="D803" s="230" t="s">
        <v>323</v>
      </c>
      <c r="E803" s="229" t="s">
        <v>14</v>
      </c>
      <c r="F803" s="231">
        <v>11</v>
      </c>
      <c r="G803" s="229" t="s">
        <v>1</v>
      </c>
      <c r="H803" s="405">
        <f ca="1">INDEX(PRODUTIVIDADES!$M:$M,MATCH(tbAREAS[[#This Row],[TIPO DE ÁREA]],PRODUTIVIDADES!$B:$B,0)+MATCH(tbAREAS[[#This Row],[LOCALIDADE]],PRODUTIVIDADES!$A:$A,0)-3)*tbAREAS[[#This Row],[ÁREA EM M²]]</f>
        <v>93.5</v>
      </c>
      <c r="L803" s="391"/>
    </row>
    <row r="804" spans="1:12" hidden="1" x14ac:dyDescent="0.25">
      <c r="A804" s="228" t="s">
        <v>2</v>
      </c>
      <c r="B804" s="234" t="s">
        <v>82</v>
      </c>
      <c r="C804" s="230" t="s">
        <v>322</v>
      </c>
      <c r="D804" s="230" t="s">
        <v>323</v>
      </c>
      <c r="E804" s="229" t="s">
        <v>17</v>
      </c>
      <c r="F804" s="231">
        <v>26</v>
      </c>
      <c r="G804" s="229" t="s">
        <v>1</v>
      </c>
      <c r="H804" s="405">
        <f ca="1">INDEX(PRODUTIVIDADES!$M:$M,MATCH(tbAREAS[[#This Row],[TIPO DE ÁREA]],PRODUTIVIDADES!$B:$B,0)+MATCH(tbAREAS[[#This Row],[LOCALIDADE]],PRODUTIVIDADES!$A:$A,0)-3)*tbAREAS[[#This Row],[ÁREA EM M²]]</f>
        <v>60.839999999999996</v>
      </c>
      <c r="L804" s="391"/>
    </row>
    <row r="805" spans="1:12" hidden="1" x14ac:dyDescent="0.25">
      <c r="A805" s="228" t="s">
        <v>2</v>
      </c>
      <c r="B805" s="234" t="s">
        <v>82</v>
      </c>
      <c r="C805" s="230" t="s">
        <v>322</v>
      </c>
      <c r="D805" s="230" t="s">
        <v>323</v>
      </c>
      <c r="E805" s="229" t="s">
        <v>18</v>
      </c>
      <c r="F805" s="231">
        <v>57</v>
      </c>
      <c r="G805" s="229" t="s">
        <v>1</v>
      </c>
      <c r="H805" s="405">
        <f ca="1">INDEX(PRODUTIVIDADES!$M:$M,MATCH(tbAREAS[[#This Row],[TIPO DE ÁREA]],PRODUTIVIDADES!$B:$B,0)+MATCH(tbAREAS[[#This Row],[LOCALIDADE]],PRODUTIVIDADES!$A:$A,0)-3)*tbAREAS[[#This Row],[ÁREA EM M²]]</f>
        <v>2584.9500000000003</v>
      </c>
      <c r="L805" s="391"/>
    </row>
    <row r="806" spans="1:12" hidden="1" x14ac:dyDescent="0.25">
      <c r="A806" s="228" t="s">
        <v>2</v>
      </c>
      <c r="B806" s="234" t="s">
        <v>82</v>
      </c>
      <c r="C806" s="230" t="s">
        <v>324</v>
      </c>
      <c r="D806" s="230" t="s">
        <v>325</v>
      </c>
      <c r="E806" s="229" t="s">
        <v>14</v>
      </c>
      <c r="F806" s="231">
        <v>971.29</v>
      </c>
      <c r="G806" s="229" t="s">
        <v>1</v>
      </c>
      <c r="H806" s="405">
        <f ca="1">INDEX(PRODUTIVIDADES!$M:$M,MATCH(tbAREAS[[#This Row],[TIPO DE ÁREA]],PRODUTIVIDADES!$B:$B,0)+MATCH(tbAREAS[[#This Row],[LOCALIDADE]],PRODUTIVIDADES!$A:$A,0)-3)*tbAREAS[[#This Row],[ÁREA EM M²]]</f>
        <v>8255.9650000000001</v>
      </c>
      <c r="L806" s="391"/>
    </row>
    <row r="807" spans="1:12" hidden="1" x14ac:dyDescent="0.25">
      <c r="A807" s="228" t="s">
        <v>2</v>
      </c>
      <c r="B807" s="234" t="s">
        <v>82</v>
      </c>
      <c r="C807" s="230" t="s">
        <v>324</v>
      </c>
      <c r="D807" s="230" t="s">
        <v>325</v>
      </c>
      <c r="E807" s="229" t="s">
        <v>18</v>
      </c>
      <c r="F807" s="231">
        <v>6</v>
      </c>
      <c r="G807" s="229" t="s">
        <v>1</v>
      </c>
      <c r="H807" s="405">
        <f ca="1">INDEX(PRODUTIVIDADES!$M:$M,MATCH(tbAREAS[[#This Row],[TIPO DE ÁREA]],PRODUTIVIDADES!$B:$B,0)+MATCH(tbAREAS[[#This Row],[LOCALIDADE]],PRODUTIVIDADES!$A:$A,0)-3)*tbAREAS[[#This Row],[ÁREA EM M²]]</f>
        <v>272.10000000000002</v>
      </c>
      <c r="L807" s="391"/>
    </row>
    <row r="808" spans="1:12" hidden="1" x14ac:dyDescent="0.25">
      <c r="A808" s="228" t="s">
        <v>2</v>
      </c>
      <c r="B808" s="234" t="s">
        <v>114</v>
      </c>
      <c r="C808" s="230" t="s">
        <v>115</v>
      </c>
      <c r="D808" s="230" t="s">
        <v>326</v>
      </c>
      <c r="E808" s="229" t="s">
        <v>21</v>
      </c>
      <c r="F808" s="231">
        <v>165</v>
      </c>
      <c r="G808" s="229" t="s">
        <v>1</v>
      </c>
      <c r="H808" s="405">
        <f ca="1">INDEX(PRODUTIVIDADES!$M:$M,MATCH(tbAREAS[[#This Row],[TIPO DE ÁREA]],PRODUTIVIDADES!$B:$B,0)+MATCH(tbAREAS[[#This Row],[LOCALIDADE]],PRODUTIVIDADES!$A:$A,0)-3)*tbAREAS[[#This Row],[ÁREA EM M²]]</f>
        <v>28.05</v>
      </c>
      <c r="L808" s="391"/>
    </row>
    <row r="809" spans="1:12" hidden="1" x14ac:dyDescent="0.25">
      <c r="A809" s="228" t="s">
        <v>2</v>
      </c>
      <c r="B809" s="234" t="s">
        <v>114</v>
      </c>
      <c r="C809" s="230" t="s">
        <v>115</v>
      </c>
      <c r="D809" s="230" t="s">
        <v>326</v>
      </c>
      <c r="E809" s="229" t="s">
        <v>22</v>
      </c>
      <c r="F809" s="231">
        <v>165</v>
      </c>
      <c r="G809" s="229" t="s">
        <v>1</v>
      </c>
      <c r="H809" s="405">
        <f ca="1">INDEX(PRODUTIVIDADES!$M:$M,MATCH(tbAREAS[[#This Row],[TIPO DE ÁREA]],PRODUTIVIDADES!$B:$B,0)+MATCH(tbAREAS[[#This Row],[LOCALIDADE]],PRODUTIVIDADES!$A:$A,0)-3)*tbAREAS[[#This Row],[ÁREA EM M²]]</f>
        <v>66</v>
      </c>
      <c r="L809" s="391"/>
    </row>
    <row r="810" spans="1:12" hidden="1" x14ac:dyDescent="0.25">
      <c r="A810" s="228" t="s">
        <v>2</v>
      </c>
      <c r="B810" s="234" t="s">
        <v>327</v>
      </c>
      <c r="C810" s="230" t="s">
        <v>328</v>
      </c>
      <c r="D810" s="230" t="s">
        <v>329</v>
      </c>
      <c r="E810" s="229" t="s">
        <v>9</v>
      </c>
      <c r="F810" s="231">
        <v>615.89</v>
      </c>
      <c r="G810" s="229" t="s">
        <v>1</v>
      </c>
      <c r="H810" s="405">
        <f ca="1">INDEX(PRODUTIVIDADES!$M:$M,MATCH(tbAREAS[[#This Row],[TIPO DE ÁREA]],PRODUTIVIDADES!$B:$B,0)+MATCH(tbAREAS[[#This Row],[LOCALIDADE]],PRODUTIVIDADES!$A:$A,0)-3)*tbAREAS[[#This Row],[ÁREA EM M²]]</f>
        <v>4803.942</v>
      </c>
      <c r="L810" s="391"/>
    </row>
    <row r="811" spans="1:12" hidden="1" x14ac:dyDescent="0.25">
      <c r="A811" s="228" t="s">
        <v>2</v>
      </c>
      <c r="B811" s="234" t="s">
        <v>327</v>
      </c>
      <c r="C811" s="230" t="s">
        <v>328</v>
      </c>
      <c r="D811" s="230" t="s">
        <v>329</v>
      </c>
      <c r="E811" s="229" t="s">
        <v>10</v>
      </c>
      <c r="F811" s="231">
        <v>777.13</v>
      </c>
      <c r="G811" s="229" t="s">
        <v>1</v>
      </c>
      <c r="H811" s="405">
        <f ca="1">INDEX(PRODUTIVIDADES!$M:$M,MATCH(tbAREAS[[#This Row],[TIPO DE ÁREA]],PRODUTIVIDADES!$B:$B,0)+MATCH(tbAREAS[[#This Row],[LOCALIDADE]],PRODUTIVIDADES!$A:$A,0)-3)*tbAREAS[[#This Row],[ÁREA EM M²]]</f>
        <v>2424.6456000000003</v>
      </c>
      <c r="L811" s="391"/>
    </row>
    <row r="812" spans="1:12" hidden="1" x14ac:dyDescent="0.25">
      <c r="A812" s="228" t="s">
        <v>2</v>
      </c>
      <c r="B812" s="234" t="s">
        <v>327</v>
      </c>
      <c r="C812" s="230" t="s">
        <v>328</v>
      </c>
      <c r="D812" s="230" t="s">
        <v>329</v>
      </c>
      <c r="E812" s="229" t="s">
        <v>13</v>
      </c>
      <c r="F812" s="231">
        <v>108.32</v>
      </c>
      <c r="G812" s="229" t="s">
        <v>1</v>
      </c>
      <c r="H812" s="405">
        <f ca="1">INDEX(PRODUTIVIDADES!$M:$M,MATCH(tbAREAS[[#This Row],[TIPO DE ÁREA]],PRODUTIVIDADES!$B:$B,0)+MATCH(tbAREAS[[#This Row],[LOCALIDADE]],PRODUTIVIDADES!$A:$A,0)-3)*tbAREAS[[#This Row],[ÁREA EM M²]]</f>
        <v>337.95839999999998</v>
      </c>
      <c r="L812" s="391"/>
    </row>
    <row r="813" spans="1:12" hidden="1" x14ac:dyDescent="0.25">
      <c r="A813" s="228" t="s">
        <v>2</v>
      </c>
      <c r="B813" s="234" t="s">
        <v>327</v>
      </c>
      <c r="C813" s="230" t="s">
        <v>328</v>
      </c>
      <c r="D813" s="230" t="s">
        <v>329</v>
      </c>
      <c r="E813" s="229" t="s">
        <v>14</v>
      </c>
      <c r="F813" s="231">
        <v>1609.15</v>
      </c>
      <c r="G813" s="229" t="s">
        <v>1</v>
      </c>
      <c r="H813" s="405">
        <f ca="1">INDEX(PRODUTIVIDADES!$M:$M,MATCH(tbAREAS[[#This Row],[TIPO DE ÁREA]],PRODUTIVIDADES!$B:$B,0)+MATCH(tbAREAS[[#This Row],[LOCALIDADE]],PRODUTIVIDADES!$A:$A,0)-3)*tbAREAS[[#This Row],[ÁREA EM M²]]</f>
        <v>13677.775000000001</v>
      </c>
      <c r="L813" s="391"/>
    </row>
    <row r="814" spans="1:12" hidden="1" x14ac:dyDescent="0.25">
      <c r="A814" s="228" t="s">
        <v>2</v>
      </c>
      <c r="B814" s="234" t="s">
        <v>327</v>
      </c>
      <c r="C814" s="230" t="s">
        <v>328</v>
      </c>
      <c r="D814" s="230" t="s">
        <v>329</v>
      </c>
      <c r="E814" s="229" t="s">
        <v>15</v>
      </c>
      <c r="F814" s="231">
        <v>144.66999999999999</v>
      </c>
      <c r="G814" s="229" t="s">
        <v>1</v>
      </c>
      <c r="H814" s="405">
        <f ca="1">INDEX(PRODUTIVIDADES!$M:$M,MATCH(tbAREAS[[#This Row],[TIPO DE ÁREA]],PRODUTIVIDADES!$B:$B,0)+MATCH(tbAREAS[[#This Row],[LOCALIDADE]],PRODUTIVIDADES!$A:$A,0)-3)*tbAREAS[[#This Row],[ÁREA EM M²]]</f>
        <v>99.822299999999984</v>
      </c>
      <c r="L814" s="391"/>
    </row>
    <row r="815" spans="1:12" hidden="1" x14ac:dyDescent="0.25">
      <c r="A815" s="228" t="s">
        <v>2</v>
      </c>
      <c r="B815" s="234" t="s">
        <v>327</v>
      </c>
      <c r="C815" s="230" t="s">
        <v>328</v>
      </c>
      <c r="D815" s="230" t="s">
        <v>329</v>
      </c>
      <c r="E815" s="229" t="s">
        <v>16</v>
      </c>
      <c r="F815" s="231">
        <v>38.92</v>
      </c>
      <c r="G815" s="229" t="s">
        <v>1</v>
      </c>
      <c r="H815" s="405">
        <f ca="1">INDEX(PRODUTIVIDADES!$M:$M,MATCH(tbAREAS[[#This Row],[TIPO DE ÁREA]],PRODUTIVIDADES!$B:$B,0)+MATCH(tbAREAS[[#This Row],[LOCALIDADE]],PRODUTIVIDADES!$A:$A,0)-3)*tbAREAS[[#This Row],[ÁREA EM M²]]</f>
        <v>30.357600000000001</v>
      </c>
      <c r="L815" s="391"/>
    </row>
    <row r="816" spans="1:12" hidden="1" x14ac:dyDescent="0.25">
      <c r="A816" s="228" t="s">
        <v>2</v>
      </c>
      <c r="B816" s="234" t="s">
        <v>327</v>
      </c>
      <c r="C816" s="230" t="s">
        <v>328</v>
      </c>
      <c r="D816" s="230" t="s">
        <v>329</v>
      </c>
      <c r="E816" s="229" t="s">
        <v>17</v>
      </c>
      <c r="F816" s="231">
        <v>1042.44</v>
      </c>
      <c r="G816" s="229" t="s">
        <v>1</v>
      </c>
      <c r="H816" s="405">
        <f ca="1">INDEX(PRODUTIVIDADES!$M:$M,MATCH(tbAREAS[[#This Row],[TIPO DE ÁREA]],PRODUTIVIDADES!$B:$B,0)+MATCH(tbAREAS[[#This Row],[LOCALIDADE]],PRODUTIVIDADES!$A:$A,0)-3)*tbAREAS[[#This Row],[ÁREA EM M²]]</f>
        <v>2439.3096</v>
      </c>
      <c r="L816" s="391"/>
    </row>
    <row r="817" spans="1:12" hidden="1" x14ac:dyDescent="0.25">
      <c r="A817" s="228" t="s">
        <v>2</v>
      </c>
      <c r="B817" s="234" t="s">
        <v>327</v>
      </c>
      <c r="C817" s="230" t="s">
        <v>328</v>
      </c>
      <c r="D817" s="230" t="s">
        <v>329</v>
      </c>
      <c r="E817" s="229" t="s">
        <v>18</v>
      </c>
      <c r="F817" s="231">
        <v>105.38</v>
      </c>
      <c r="G817" s="229" t="s">
        <v>1</v>
      </c>
      <c r="H817" s="405">
        <f ca="1">INDEX(PRODUTIVIDADES!$M:$M,MATCH(tbAREAS[[#This Row],[TIPO DE ÁREA]],PRODUTIVIDADES!$B:$B,0)+MATCH(tbAREAS[[#This Row],[LOCALIDADE]],PRODUTIVIDADES!$A:$A,0)-3)*tbAREAS[[#This Row],[ÁREA EM M²]]</f>
        <v>4778.9830000000002</v>
      </c>
      <c r="L817" s="391"/>
    </row>
    <row r="818" spans="1:12" hidden="1" x14ac:dyDescent="0.25">
      <c r="A818" s="228" t="s">
        <v>2</v>
      </c>
      <c r="B818" s="234" t="s">
        <v>327</v>
      </c>
      <c r="C818" s="230" t="s">
        <v>328</v>
      </c>
      <c r="D818" s="230" t="s">
        <v>329</v>
      </c>
      <c r="E818" s="229" t="s">
        <v>20</v>
      </c>
      <c r="F818" s="231">
        <v>387.6</v>
      </c>
      <c r="G818" s="229" t="s">
        <v>1</v>
      </c>
      <c r="H818" s="405">
        <f ca="1">INDEX(PRODUTIVIDADES!$M:$M,MATCH(tbAREAS[[#This Row],[TIPO DE ÁREA]],PRODUTIVIDADES!$B:$B,0)+MATCH(tbAREAS[[#This Row],[LOCALIDADE]],PRODUTIVIDADES!$A:$A,0)-3)*tbAREAS[[#This Row],[ÁREA EM M²]]</f>
        <v>302.32800000000003</v>
      </c>
      <c r="L818" s="391"/>
    </row>
    <row r="819" spans="1:12" hidden="1" x14ac:dyDescent="0.25">
      <c r="A819" s="228" t="s">
        <v>2</v>
      </c>
      <c r="B819" s="234" t="s">
        <v>327</v>
      </c>
      <c r="C819" s="230" t="s">
        <v>328</v>
      </c>
      <c r="D819" s="230" t="s">
        <v>329</v>
      </c>
      <c r="E819" s="229" t="s">
        <v>21</v>
      </c>
      <c r="F819" s="231">
        <v>736.3</v>
      </c>
      <c r="G819" s="229" t="s">
        <v>1</v>
      </c>
      <c r="H819" s="405">
        <f ca="1">INDEX(PRODUTIVIDADES!$M:$M,MATCH(tbAREAS[[#This Row],[TIPO DE ÁREA]],PRODUTIVIDADES!$B:$B,0)+MATCH(tbAREAS[[#This Row],[LOCALIDADE]],PRODUTIVIDADES!$A:$A,0)-3)*tbAREAS[[#This Row],[ÁREA EM M²]]</f>
        <v>125.17100000000001</v>
      </c>
      <c r="L819" s="391"/>
    </row>
    <row r="820" spans="1:12" hidden="1" x14ac:dyDescent="0.25">
      <c r="A820" s="228" t="s">
        <v>2</v>
      </c>
      <c r="B820" s="234" t="s">
        <v>327</v>
      </c>
      <c r="C820" s="230" t="s">
        <v>328</v>
      </c>
      <c r="D820" s="230" t="s">
        <v>329</v>
      </c>
      <c r="E820" s="229" t="s">
        <v>22</v>
      </c>
      <c r="F820" s="231">
        <v>736.3</v>
      </c>
      <c r="G820" s="229" t="s">
        <v>1</v>
      </c>
      <c r="H820" s="405">
        <f ca="1">INDEX(PRODUTIVIDADES!$M:$M,MATCH(tbAREAS[[#This Row],[TIPO DE ÁREA]],PRODUTIVIDADES!$B:$B,0)+MATCH(tbAREAS[[#This Row],[LOCALIDADE]],PRODUTIVIDADES!$A:$A,0)-3)*tbAREAS[[#This Row],[ÁREA EM M²]]</f>
        <v>294.52</v>
      </c>
      <c r="L820" s="391"/>
    </row>
    <row r="821" spans="1:12" hidden="1" x14ac:dyDescent="0.25">
      <c r="A821" s="228" t="s">
        <v>2</v>
      </c>
      <c r="B821" s="234" t="s">
        <v>327</v>
      </c>
      <c r="C821" s="230" t="s">
        <v>330</v>
      </c>
      <c r="D821" s="230" t="s">
        <v>331</v>
      </c>
      <c r="E821" s="229" t="s">
        <v>10</v>
      </c>
      <c r="F821" s="231">
        <v>133.44</v>
      </c>
      <c r="G821" s="229" t="s">
        <v>1</v>
      </c>
      <c r="H821" s="405">
        <f ca="1">INDEX(PRODUTIVIDADES!$M:$M,MATCH(tbAREAS[[#This Row],[TIPO DE ÁREA]],PRODUTIVIDADES!$B:$B,0)+MATCH(tbAREAS[[#This Row],[LOCALIDADE]],PRODUTIVIDADES!$A:$A,0)-3)*tbAREAS[[#This Row],[ÁREA EM M²]]</f>
        <v>416.33280000000002</v>
      </c>
      <c r="L821" s="391"/>
    </row>
    <row r="822" spans="1:12" hidden="1" x14ac:dyDescent="0.25">
      <c r="A822" s="228" t="s">
        <v>2</v>
      </c>
      <c r="B822" s="234" t="s">
        <v>327</v>
      </c>
      <c r="C822" s="230" t="s">
        <v>330</v>
      </c>
      <c r="D822" s="230" t="s">
        <v>331</v>
      </c>
      <c r="E822" s="229" t="s">
        <v>14</v>
      </c>
      <c r="F822" s="231">
        <v>354.54</v>
      </c>
      <c r="G822" s="229" t="s">
        <v>1</v>
      </c>
      <c r="H822" s="405">
        <f ca="1">INDEX(PRODUTIVIDADES!$M:$M,MATCH(tbAREAS[[#This Row],[TIPO DE ÁREA]],PRODUTIVIDADES!$B:$B,0)+MATCH(tbAREAS[[#This Row],[LOCALIDADE]],PRODUTIVIDADES!$A:$A,0)-3)*tbAREAS[[#This Row],[ÁREA EM M²]]</f>
        <v>3013.59</v>
      </c>
      <c r="L822" s="391"/>
    </row>
    <row r="823" spans="1:12" hidden="1" x14ac:dyDescent="0.25">
      <c r="A823" s="228" t="s">
        <v>2</v>
      </c>
      <c r="B823" s="234" t="s">
        <v>327</v>
      </c>
      <c r="C823" s="230" t="s">
        <v>330</v>
      </c>
      <c r="D823" s="230" t="s">
        <v>331</v>
      </c>
      <c r="E823" s="229" t="s">
        <v>15</v>
      </c>
      <c r="F823" s="231">
        <v>3.62</v>
      </c>
      <c r="G823" s="229" t="s">
        <v>1</v>
      </c>
      <c r="H823" s="405">
        <f ca="1">INDEX(PRODUTIVIDADES!$M:$M,MATCH(tbAREAS[[#This Row],[TIPO DE ÁREA]],PRODUTIVIDADES!$B:$B,0)+MATCH(tbAREAS[[#This Row],[LOCALIDADE]],PRODUTIVIDADES!$A:$A,0)-3)*tbAREAS[[#This Row],[ÁREA EM M²]]</f>
        <v>2.4977999999999998</v>
      </c>
      <c r="L823" s="391"/>
    </row>
    <row r="824" spans="1:12" hidden="1" x14ac:dyDescent="0.25">
      <c r="A824" s="228" t="s">
        <v>2</v>
      </c>
      <c r="B824" s="234" t="s">
        <v>327</v>
      </c>
      <c r="C824" s="230" t="s">
        <v>330</v>
      </c>
      <c r="D824" s="230" t="s">
        <v>331</v>
      </c>
      <c r="E824" s="229" t="s">
        <v>17</v>
      </c>
      <c r="F824" s="231">
        <v>108.91</v>
      </c>
      <c r="G824" s="229" t="s">
        <v>1</v>
      </c>
      <c r="H824" s="405">
        <f ca="1">INDEX(PRODUTIVIDADES!$M:$M,MATCH(tbAREAS[[#This Row],[TIPO DE ÁREA]],PRODUTIVIDADES!$B:$B,0)+MATCH(tbAREAS[[#This Row],[LOCALIDADE]],PRODUTIVIDADES!$A:$A,0)-3)*tbAREAS[[#This Row],[ÁREA EM M²]]</f>
        <v>254.84939999999997</v>
      </c>
      <c r="L824" s="391"/>
    </row>
    <row r="825" spans="1:12" hidden="1" x14ac:dyDescent="0.25">
      <c r="A825" s="228" t="s">
        <v>2</v>
      </c>
      <c r="B825" s="234" t="s">
        <v>327</v>
      </c>
      <c r="C825" s="230" t="s">
        <v>330</v>
      </c>
      <c r="D825" s="230" t="s">
        <v>331</v>
      </c>
      <c r="E825" s="229" t="s">
        <v>18</v>
      </c>
      <c r="F825" s="231">
        <v>27.32</v>
      </c>
      <c r="G825" s="229" t="s">
        <v>1</v>
      </c>
      <c r="H825" s="405">
        <f ca="1">INDEX(PRODUTIVIDADES!$M:$M,MATCH(tbAREAS[[#This Row],[TIPO DE ÁREA]],PRODUTIVIDADES!$B:$B,0)+MATCH(tbAREAS[[#This Row],[LOCALIDADE]],PRODUTIVIDADES!$A:$A,0)-3)*tbAREAS[[#This Row],[ÁREA EM M²]]</f>
        <v>1238.962</v>
      </c>
      <c r="L825" s="391"/>
    </row>
    <row r="826" spans="1:12" hidden="1" x14ac:dyDescent="0.25">
      <c r="A826" s="228" t="s">
        <v>2</v>
      </c>
      <c r="B826" s="234" t="s">
        <v>327</v>
      </c>
      <c r="C826" s="230" t="s">
        <v>330</v>
      </c>
      <c r="D826" s="230" t="s">
        <v>331</v>
      </c>
      <c r="E826" s="229" t="s">
        <v>20</v>
      </c>
      <c r="F826" s="231">
        <v>52.55</v>
      </c>
      <c r="G826" s="229" t="s">
        <v>1</v>
      </c>
      <c r="H826" s="405">
        <f ca="1">INDEX(PRODUTIVIDADES!$M:$M,MATCH(tbAREAS[[#This Row],[TIPO DE ÁREA]],PRODUTIVIDADES!$B:$B,0)+MATCH(tbAREAS[[#This Row],[LOCALIDADE]],PRODUTIVIDADES!$A:$A,0)-3)*tbAREAS[[#This Row],[ÁREA EM M²]]</f>
        <v>40.988999999999997</v>
      </c>
      <c r="L826" s="391"/>
    </row>
    <row r="827" spans="1:12" hidden="1" x14ac:dyDescent="0.25">
      <c r="A827" s="228" t="s">
        <v>2</v>
      </c>
      <c r="B827" s="234" t="s">
        <v>327</v>
      </c>
      <c r="C827" s="230" t="s">
        <v>330</v>
      </c>
      <c r="D827" s="230" t="s">
        <v>331</v>
      </c>
      <c r="E827" s="229" t="s">
        <v>21</v>
      </c>
      <c r="F827" s="231">
        <v>80.19</v>
      </c>
      <c r="G827" s="229" t="s">
        <v>1</v>
      </c>
      <c r="H827" s="405">
        <f ca="1">INDEX(PRODUTIVIDADES!$M:$M,MATCH(tbAREAS[[#This Row],[TIPO DE ÁREA]],PRODUTIVIDADES!$B:$B,0)+MATCH(tbAREAS[[#This Row],[LOCALIDADE]],PRODUTIVIDADES!$A:$A,0)-3)*tbAREAS[[#This Row],[ÁREA EM M²]]</f>
        <v>13.632300000000001</v>
      </c>
      <c r="L827" s="391"/>
    </row>
    <row r="828" spans="1:12" hidden="1" x14ac:dyDescent="0.25">
      <c r="A828" s="228" t="s">
        <v>2</v>
      </c>
      <c r="B828" s="234" t="s">
        <v>327</v>
      </c>
      <c r="C828" s="230" t="s">
        <v>330</v>
      </c>
      <c r="D828" s="230" t="s">
        <v>331</v>
      </c>
      <c r="E828" s="229" t="s">
        <v>22</v>
      </c>
      <c r="F828" s="231">
        <v>80.19</v>
      </c>
      <c r="G828" s="229" t="s">
        <v>1</v>
      </c>
      <c r="H828" s="405">
        <f ca="1">INDEX(PRODUTIVIDADES!$M:$M,MATCH(tbAREAS[[#This Row],[TIPO DE ÁREA]],PRODUTIVIDADES!$B:$B,0)+MATCH(tbAREAS[[#This Row],[LOCALIDADE]],PRODUTIVIDADES!$A:$A,0)-3)*tbAREAS[[#This Row],[ÁREA EM M²]]</f>
        <v>32.076000000000001</v>
      </c>
      <c r="L828" s="391"/>
    </row>
    <row r="829" spans="1:12" hidden="1" x14ac:dyDescent="0.25">
      <c r="A829" s="228" t="s">
        <v>2</v>
      </c>
      <c r="B829" s="234" t="s">
        <v>327</v>
      </c>
      <c r="C829" s="230" t="s">
        <v>332</v>
      </c>
      <c r="D829" s="230" t="s">
        <v>333</v>
      </c>
      <c r="E829" s="229" t="s">
        <v>14</v>
      </c>
      <c r="F829" s="231">
        <v>564.22</v>
      </c>
      <c r="G829" s="229" t="s">
        <v>1</v>
      </c>
      <c r="H829" s="405">
        <f ca="1">INDEX(PRODUTIVIDADES!$M:$M,MATCH(tbAREAS[[#This Row],[TIPO DE ÁREA]],PRODUTIVIDADES!$B:$B,0)+MATCH(tbAREAS[[#This Row],[LOCALIDADE]],PRODUTIVIDADES!$A:$A,0)-3)*tbAREAS[[#This Row],[ÁREA EM M²]]</f>
        <v>4795.87</v>
      </c>
      <c r="L829" s="391"/>
    </row>
    <row r="830" spans="1:12" hidden="1" x14ac:dyDescent="0.25">
      <c r="A830" s="228" t="s">
        <v>2</v>
      </c>
      <c r="B830" s="234" t="s">
        <v>327</v>
      </c>
      <c r="C830" s="230" t="s">
        <v>332</v>
      </c>
      <c r="D830" s="230" t="s">
        <v>333</v>
      </c>
      <c r="E830" s="229" t="s">
        <v>17</v>
      </c>
      <c r="F830" s="231">
        <v>32.200000000000003</v>
      </c>
      <c r="G830" s="229" t="s">
        <v>1</v>
      </c>
      <c r="H830" s="405">
        <f ca="1">INDEX(PRODUTIVIDADES!$M:$M,MATCH(tbAREAS[[#This Row],[TIPO DE ÁREA]],PRODUTIVIDADES!$B:$B,0)+MATCH(tbAREAS[[#This Row],[LOCALIDADE]],PRODUTIVIDADES!$A:$A,0)-3)*tbAREAS[[#This Row],[ÁREA EM M²]]</f>
        <v>75.347999999999999</v>
      </c>
      <c r="L830" s="391"/>
    </row>
    <row r="831" spans="1:12" hidden="1" x14ac:dyDescent="0.25">
      <c r="A831" s="228" t="s">
        <v>2</v>
      </c>
      <c r="B831" s="234" t="s">
        <v>327</v>
      </c>
      <c r="C831" s="230" t="s">
        <v>332</v>
      </c>
      <c r="D831" s="230" t="s">
        <v>333</v>
      </c>
      <c r="E831" s="229" t="s">
        <v>18</v>
      </c>
      <c r="F831" s="231">
        <v>14.02</v>
      </c>
      <c r="G831" s="229" t="s">
        <v>1</v>
      </c>
      <c r="H831" s="405">
        <f ca="1">INDEX(PRODUTIVIDADES!$M:$M,MATCH(tbAREAS[[#This Row],[TIPO DE ÁREA]],PRODUTIVIDADES!$B:$B,0)+MATCH(tbAREAS[[#This Row],[LOCALIDADE]],PRODUTIVIDADES!$A:$A,0)-3)*tbAREAS[[#This Row],[ÁREA EM M²]]</f>
        <v>635.80700000000002</v>
      </c>
      <c r="L831" s="391"/>
    </row>
    <row r="832" spans="1:12" hidden="1" x14ac:dyDescent="0.25">
      <c r="A832" s="228" t="s">
        <v>2</v>
      </c>
      <c r="B832" s="234" t="s">
        <v>327</v>
      </c>
      <c r="C832" s="230" t="s">
        <v>332</v>
      </c>
      <c r="D832" s="230" t="s">
        <v>333</v>
      </c>
      <c r="E832" s="229" t="s">
        <v>20</v>
      </c>
      <c r="F832" s="231">
        <v>210.96</v>
      </c>
      <c r="G832" s="229" t="s">
        <v>1</v>
      </c>
      <c r="H832" s="405">
        <f ca="1">INDEX(PRODUTIVIDADES!$M:$M,MATCH(tbAREAS[[#This Row],[TIPO DE ÁREA]],PRODUTIVIDADES!$B:$B,0)+MATCH(tbAREAS[[#This Row],[LOCALIDADE]],PRODUTIVIDADES!$A:$A,0)-3)*tbAREAS[[#This Row],[ÁREA EM M²]]</f>
        <v>164.5488</v>
      </c>
      <c r="L832" s="391"/>
    </row>
    <row r="833" spans="1:12" hidden="1" x14ac:dyDescent="0.25">
      <c r="A833" s="228" t="s">
        <v>2</v>
      </c>
      <c r="B833" s="234" t="s">
        <v>327</v>
      </c>
      <c r="C833" s="230" t="s">
        <v>332</v>
      </c>
      <c r="D833" s="230" t="s">
        <v>333</v>
      </c>
      <c r="E833" s="229" t="s">
        <v>21</v>
      </c>
      <c r="F833" s="231">
        <v>55.68</v>
      </c>
      <c r="G833" s="229" t="s">
        <v>1</v>
      </c>
      <c r="H833" s="405">
        <f ca="1">INDEX(PRODUTIVIDADES!$M:$M,MATCH(tbAREAS[[#This Row],[TIPO DE ÁREA]],PRODUTIVIDADES!$B:$B,0)+MATCH(tbAREAS[[#This Row],[LOCALIDADE]],PRODUTIVIDADES!$A:$A,0)-3)*tbAREAS[[#This Row],[ÁREA EM M²]]</f>
        <v>9.4656000000000002</v>
      </c>
      <c r="L833" s="391"/>
    </row>
    <row r="834" spans="1:12" hidden="1" x14ac:dyDescent="0.25">
      <c r="A834" s="228" t="s">
        <v>2</v>
      </c>
      <c r="B834" s="234" t="s">
        <v>327</v>
      </c>
      <c r="C834" s="230" t="s">
        <v>332</v>
      </c>
      <c r="D834" s="230" t="s">
        <v>333</v>
      </c>
      <c r="E834" s="229" t="s">
        <v>22</v>
      </c>
      <c r="F834" s="231">
        <v>55.68</v>
      </c>
      <c r="G834" s="229" t="s">
        <v>1</v>
      </c>
      <c r="H834" s="405">
        <f ca="1">INDEX(PRODUTIVIDADES!$M:$M,MATCH(tbAREAS[[#This Row],[TIPO DE ÁREA]],PRODUTIVIDADES!$B:$B,0)+MATCH(tbAREAS[[#This Row],[LOCALIDADE]],PRODUTIVIDADES!$A:$A,0)-3)*tbAREAS[[#This Row],[ÁREA EM M²]]</f>
        <v>22.272000000000002</v>
      </c>
      <c r="L834" s="391"/>
    </row>
    <row r="835" spans="1:12" hidden="1" x14ac:dyDescent="0.25">
      <c r="A835" s="228" t="s">
        <v>2</v>
      </c>
      <c r="B835" s="234" t="s">
        <v>327</v>
      </c>
      <c r="C835" s="230" t="s">
        <v>334</v>
      </c>
      <c r="D835" s="230" t="s">
        <v>161</v>
      </c>
      <c r="E835" s="229" t="s">
        <v>9</v>
      </c>
      <c r="F835" s="231">
        <v>200.25</v>
      </c>
      <c r="G835" s="229" t="s">
        <v>1</v>
      </c>
      <c r="H835" s="405">
        <f ca="1">INDEX(PRODUTIVIDADES!$M:$M,MATCH(tbAREAS[[#This Row],[TIPO DE ÁREA]],PRODUTIVIDADES!$B:$B,0)+MATCH(tbAREAS[[#This Row],[LOCALIDADE]],PRODUTIVIDADES!$A:$A,0)-3)*tbAREAS[[#This Row],[ÁREA EM M²]]</f>
        <v>1561.95</v>
      </c>
      <c r="L835" s="391"/>
    </row>
    <row r="836" spans="1:12" hidden="1" x14ac:dyDescent="0.25">
      <c r="A836" s="228" t="s">
        <v>2</v>
      </c>
      <c r="B836" s="234" t="s">
        <v>327</v>
      </c>
      <c r="C836" s="230" t="s">
        <v>334</v>
      </c>
      <c r="D836" s="230" t="s">
        <v>161</v>
      </c>
      <c r="E836" s="229" t="s">
        <v>10</v>
      </c>
      <c r="F836" s="231">
        <v>87.38</v>
      </c>
      <c r="G836" s="229" t="s">
        <v>1</v>
      </c>
      <c r="H836" s="405">
        <f ca="1">INDEX(PRODUTIVIDADES!$M:$M,MATCH(tbAREAS[[#This Row],[TIPO DE ÁREA]],PRODUTIVIDADES!$B:$B,0)+MATCH(tbAREAS[[#This Row],[LOCALIDADE]],PRODUTIVIDADES!$A:$A,0)-3)*tbAREAS[[#This Row],[ÁREA EM M²]]</f>
        <v>272.62560000000002</v>
      </c>
      <c r="L836" s="391"/>
    </row>
    <row r="837" spans="1:12" hidden="1" x14ac:dyDescent="0.25">
      <c r="A837" s="228" t="s">
        <v>2</v>
      </c>
      <c r="B837" s="234" t="s">
        <v>327</v>
      </c>
      <c r="C837" s="230" t="s">
        <v>334</v>
      </c>
      <c r="D837" s="230" t="s">
        <v>161</v>
      </c>
      <c r="E837" s="229" t="s">
        <v>14</v>
      </c>
      <c r="F837" s="231">
        <v>775.15</v>
      </c>
      <c r="G837" s="229" t="s">
        <v>1</v>
      </c>
      <c r="H837" s="405">
        <f ca="1">INDEX(PRODUTIVIDADES!$M:$M,MATCH(tbAREAS[[#This Row],[TIPO DE ÁREA]],PRODUTIVIDADES!$B:$B,0)+MATCH(tbAREAS[[#This Row],[LOCALIDADE]],PRODUTIVIDADES!$A:$A,0)-3)*tbAREAS[[#This Row],[ÁREA EM M²]]</f>
        <v>6588.7749999999996</v>
      </c>
      <c r="L837" s="391"/>
    </row>
    <row r="838" spans="1:12" hidden="1" x14ac:dyDescent="0.25">
      <c r="A838" s="228" t="s">
        <v>2</v>
      </c>
      <c r="B838" s="234" t="s">
        <v>327</v>
      </c>
      <c r="C838" s="230" t="s">
        <v>334</v>
      </c>
      <c r="D838" s="230" t="s">
        <v>161</v>
      </c>
      <c r="E838" s="229" t="s">
        <v>15</v>
      </c>
      <c r="F838" s="231">
        <v>33.880000000000003</v>
      </c>
      <c r="G838" s="229" t="s">
        <v>1</v>
      </c>
      <c r="H838" s="405">
        <f ca="1">INDEX(PRODUTIVIDADES!$M:$M,MATCH(tbAREAS[[#This Row],[TIPO DE ÁREA]],PRODUTIVIDADES!$B:$B,0)+MATCH(tbAREAS[[#This Row],[LOCALIDADE]],PRODUTIVIDADES!$A:$A,0)-3)*tbAREAS[[#This Row],[ÁREA EM M²]]</f>
        <v>23.377199999999998</v>
      </c>
      <c r="L838" s="391"/>
    </row>
    <row r="839" spans="1:12" hidden="1" x14ac:dyDescent="0.25">
      <c r="A839" s="228" t="s">
        <v>2</v>
      </c>
      <c r="B839" s="234" t="s">
        <v>327</v>
      </c>
      <c r="C839" s="230" t="s">
        <v>334</v>
      </c>
      <c r="D839" s="230" t="s">
        <v>161</v>
      </c>
      <c r="E839" s="229" t="s">
        <v>17</v>
      </c>
      <c r="F839" s="231">
        <v>378.55</v>
      </c>
      <c r="G839" s="229" t="s">
        <v>1</v>
      </c>
      <c r="H839" s="405">
        <f ca="1">INDEX(PRODUTIVIDADES!$M:$M,MATCH(tbAREAS[[#This Row],[TIPO DE ÁREA]],PRODUTIVIDADES!$B:$B,0)+MATCH(tbAREAS[[#This Row],[LOCALIDADE]],PRODUTIVIDADES!$A:$A,0)-3)*tbAREAS[[#This Row],[ÁREA EM M²]]</f>
        <v>885.80700000000002</v>
      </c>
      <c r="L839" s="391"/>
    </row>
    <row r="840" spans="1:12" hidden="1" x14ac:dyDescent="0.25">
      <c r="A840" s="228" t="s">
        <v>2</v>
      </c>
      <c r="B840" s="234" t="s">
        <v>327</v>
      </c>
      <c r="C840" s="230" t="s">
        <v>334</v>
      </c>
      <c r="D840" s="230" t="s">
        <v>161</v>
      </c>
      <c r="E840" s="229" t="s">
        <v>18</v>
      </c>
      <c r="F840" s="231">
        <v>70.97</v>
      </c>
      <c r="G840" s="229" t="s">
        <v>1</v>
      </c>
      <c r="H840" s="405">
        <f ca="1">INDEX(PRODUTIVIDADES!$M:$M,MATCH(tbAREAS[[#This Row],[TIPO DE ÁREA]],PRODUTIVIDADES!$B:$B,0)+MATCH(tbAREAS[[#This Row],[LOCALIDADE]],PRODUTIVIDADES!$A:$A,0)-3)*tbAREAS[[#This Row],[ÁREA EM M²]]</f>
        <v>3218.4895000000001</v>
      </c>
      <c r="L840" s="391"/>
    </row>
    <row r="841" spans="1:12" hidden="1" x14ac:dyDescent="0.25">
      <c r="A841" s="228" t="s">
        <v>2</v>
      </c>
      <c r="B841" s="234" t="s">
        <v>327</v>
      </c>
      <c r="C841" s="230" t="s">
        <v>334</v>
      </c>
      <c r="D841" s="230" t="s">
        <v>161</v>
      </c>
      <c r="E841" s="229" t="s">
        <v>20</v>
      </c>
      <c r="F841" s="231">
        <v>35.53</v>
      </c>
      <c r="G841" s="229" t="s">
        <v>1</v>
      </c>
      <c r="H841" s="405">
        <f ca="1">INDEX(PRODUTIVIDADES!$M:$M,MATCH(tbAREAS[[#This Row],[TIPO DE ÁREA]],PRODUTIVIDADES!$B:$B,0)+MATCH(tbAREAS[[#This Row],[LOCALIDADE]],PRODUTIVIDADES!$A:$A,0)-3)*tbAREAS[[#This Row],[ÁREA EM M²]]</f>
        <v>27.713400000000004</v>
      </c>
      <c r="L841" s="391"/>
    </row>
    <row r="842" spans="1:12" hidden="1" x14ac:dyDescent="0.25">
      <c r="A842" s="228" t="s">
        <v>2</v>
      </c>
      <c r="B842" s="234" t="s">
        <v>327</v>
      </c>
      <c r="C842" s="230" t="s">
        <v>334</v>
      </c>
      <c r="D842" s="230" t="s">
        <v>161</v>
      </c>
      <c r="E842" s="229" t="s">
        <v>21</v>
      </c>
      <c r="F842" s="231">
        <v>596.61</v>
      </c>
      <c r="G842" s="229" t="s">
        <v>1</v>
      </c>
      <c r="H842" s="405">
        <f ca="1">INDEX(PRODUTIVIDADES!$M:$M,MATCH(tbAREAS[[#This Row],[TIPO DE ÁREA]],PRODUTIVIDADES!$B:$B,0)+MATCH(tbAREAS[[#This Row],[LOCALIDADE]],PRODUTIVIDADES!$A:$A,0)-3)*tbAREAS[[#This Row],[ÁREA EM M²]]</f>
        <v>101.42370000000001</v>
      </c>
      <c r="L842" s="391"/>
    </row>
    <row r="843" spans="1:12" hidden="1" x14ac:dyDescent="0.25">
      <c r="A843" s="228" t="s">
        <v>2</v>
      </c>
      <c r="B843" s="234" t="s">
        <v>327</v>
      </c>
      <c r="C843" s="230" t="s">
        <v>334</v>
      </c>
      <c r="D843" s="230" t="s">
        <v>161</v>
      </c>
      <c r="E843" s="229" t="s">
        <v>22</v>
      </c>
      <c r="F843" s="231">
        <v>617.76</v>
      </c>
      <c r="G843" s="229" t="s">
        <v>1</v>
      </c>
      <c r="H843" s="405">
        <f ca="1">INDEX(PRODUTIVIDADES!$M:$M,MATCH(tbAREAS[[#This Row],[TIPO DE ÁREA]],PRODUTIVIDADES!$B:$B,0)+MATCH(tbAREAS[[#This Row],[LOCALIDADE]],PRODUTIVIDADES!$A:$A,0)-3)*tbAREAS[[#This Row],[ÁREA EM M²]]</f>
        <v>247.10400000000001</v>
      </c>
      <c r="L843" s="391"/>
    </row>
    <row r="844" spans="1:12" hidden="1" x14ac:dyDescent="0.25">
      <c r="A844" s="228" t="s">
        <v>2</v>
      </c>
      <c r="B844" s="234" t="s">
        <v>327</v>
      </c>
      <c r="C844" s="230" t="s">
        <v>335</v>
      </c>
      <c r="D844" s="230" t="s">
        <v>161</v>
      </c>
      <c r="E844" s="229" t="s">
        <v>9</v>
      </c>
      <c r="F844" s="231">
        <v>166.39</v>
      </c>
      <c r="G844" s="229" t="s">
        <v>1</v>
      </c>
      <c r="H844" s="405">
        <f ca="1">INDEX(PRODUTIVIDADES!$M:$M,MATCH(tbAREAS[[#This Row],[TIPO DE ÁREA]],PRODUTIVIDADES!$B:$B,0)+MATCH(tbAREAS[[#This Row],[LOCALIDADE]],PRODUTIVIDADES!$A:$A,0)-3)*tbAREAS[[#This Row],[ÁREA EM M²]]</f>
        <v>1297.8419999999999</v>
      </c>
      <c r="L844" s="391"/>
    </row>
    <row r="845" spans="1:12" hidden="1" x14ac:dyDescent="0.25">
      <c r="A845" s="228" t="s">
        <v>2</v>
      </c>
      <c r="B845" s="234" t="s">
        <v>327</v>
      </c>
      <c r="C845" s="230" t="s">
        <v>335</v>
      </c>
      <c r="D845" s="230" t="s">
        <v>161</v>
      </c>
      <c r="E845" s="229" t="s">
        <v>10</v>
      </c>
      <c r="F845" s="231">
        <v>249.58</v>
      </c>
      <c r="G845" s="229" t="s">
        <v>1</v>
      </c>
      <c r="H845" s="405">
        <f ca="1">INDEX(PRODUTIVIDADES!$M:$M,MATCH(tbAREAS[[#This Row],[TIPO DE ÁREA]],PRODUTIVIDADES!$B:$B,0)+MATCH(tbAREAS[[#This Row],[LOCALIDADE]],PRODUTIVIDADES!$A:$A,0)-3)*tbAREAS[[#This Row],[ÁREA EM M²]]</f>
        <v>778.68960000000004</v>
      </c>
      <c r="L845" s="391"/>
    </row>
    <row r="846" spans="1:12" hidden="1" x14ac:dyDescent="0.25">
      <c r="A846" s="228" t="s">
        <v>2</v>
      </c>
      <c r="B846" s="234" t="s">
        <v>327</v>
      </c>
      <c r="C846" s="230" t="s">
        <v>335</v>
      </c>
      <c r="D846" s="230" t="s">
        <v>161</v>
      </c>
      <c r="E846" s="229" t="s">
        <v>14</v>
      </c>
      <c r="F846" s="231">
        <v>588.58000000000004</v>
      </c>
      <c r="G846" s="229" t="s">
        <v>1</v>
      </c>
      <c r="H846" s="405">
        <f ca="1">INDEX(PRODUTIVIDADES!$M:$M,MATCH(tbAREAS[[#This Row],[TIPO DE ÁREA]],PRODUTIVIDADES!$B:$B,0)+MATCH(tbAREAS[[#This Row],[LOCALIDADE]],PRODUTIVIDADES!$A:$A,0)-3)*tbAREAS[[#This Row],[ÁREA EM M²]]</f>
        <v>5002.93</v>
      </c>
      <c r="L846" s="391"/>
    </row>
    <row r="847" spans="1:12" hidden="1" x14ac:dyDescent="0.25">
      <c r="A847" s="228" t="s">
        <v>2</v>
      </c>
      <c r="B847" s="234" t="s">
        <v>327</v>
      </c>
      <c r="C847" s="230" t="s">
        <v>335</v>
      </c>
      <c r="D847" s="230" t="s">
        <v>161</v>
      </c>
      <c r="E847" s="229" t="s">
        <v>17</v>
      </c>
      <c r="F847" s="231">
        <v>453.1</v>
      </c>
      <c r="G847" s="229" t="s">
        <v>1</v>
      </c>
      <c r="H847" s="405">
        <f ca="1">INDEX(PRODUTIVIDADES!$M:$M,MATCH(tbAREAS[[#This Row],[TIPO DE ÁREA]],PRODUTIVIDADES!$B:$B,0)+MATCH(tbAREAS[[#This Row],[LOCALIDADE]],PRODUTIVIDADES!$A:$A,0)-3)*tbAREAS[[#This Row],[ÁREA EM M²]]</f>
        <v>1060.2539999999999</v>
      </c>
      <c r="L847" s="391"/>
    </row>
    <row r="848" spans="1:12" hidden="1" x14ac:dyDescent="0.25">
      <c r="A848" s="228" t="s">
        <v>2</v>
      </c>
      <c r="B848" s="234" t="s">
        <v>327</v>
      </c>
      <c r="C848" s="230" t="s">
        <v>335</v>
      </c>
      <c r="D848" s="230" t="s">
        <v>161</v>
      </c>
      <c r="E848" s="229" t="s">
        <v>18</v>
      </c>
      <c r="F848" s="231">
        <v>84.8</v>
      </c>
      <c r="G848" s="229" t="s">
        <v>1</v>
      </c>
      <c r="H848" s="405">
        <f ca="1">INDEX(PRODUTIVIDADES!$M:$M,MATCH(tbAREAS[[#This Row],[TIPO DE ÁREA]],PRODUTIVIDADES!$B:$B,0)+MATCH(tbAREAS[[#This Row],[LOCALIDADE]],PRODUTIVIDADES!$A:$A,0)-3)*tbAREAS[[#This Row],[ÁREA EM M²]]</f>
        <v>3845.68</v>
      </c>
      <c r="L848" s="391"/>
    </row>
    <row r="849" spans="1:12" hidden="1" x14ac:dyDescent="0.25">
      <c r="A849" s="228" t="s">
        <v>2</v>
      </c>
      <c r="B849" s="234" t="s">
        <v>327</v>
      </c>
      <c r="C849" s="230" t="s">
        <v>335</v>
      </c>
      <c r="D849" s="230" t="s">
        <v>161</v>
      </c>
      <c r="E849" s="229" t="s">
        <v>20</v>
      </c>
      <c r="F849" s="231">
        <v>193.29</v>
      </c>
      <c r="G849" s="229" t="s">
        <v>1</v>
      </c>
      <c r="H849" s="405">
        <f ca="1">INDEX(PRODUTIVIDADES!$M:$M,MATCH(tbAREAS[[#This Row],[TIPO DE ÁREA]],PRODUTIVIDADES!$B:$B,0)+MATCH(tbAREAS[[#This Row],[LOCALIDADE]],PRODUTIVIDADES!$A:$A,0)-3)*tbAREAS[[#This Row],[ÁREA EM M²]]</f>
        <v>150.7662</v>
      </c>
      <c r="L849" s="391"/>
    </row>
    <row r="850" spans="1:12" hidden="1" x14ac:dyDescent="0.25">
      <c r="A850" s="228" t="s">
        <v>2</v>
      </c>
      <c r="B850" s="234" t="s">
        <v>327</v>
      </c>
      <c r="C850" s="230" t="s">
        <v>335</v>
      </c>
      <c r="D850" s="230" t="s">
        <v>161</v>
      </c>
      <c r="E850" s="229" t="s">
        <v>21</v>
      </c>
      <c r="F850" s="231">
        <v>251.09</v>
      </c>
      <c r="G850" s="229" t="s">
        <v>1</v>
      </c>
      <c r="H850" s="405">
        <f ca="1">INDEX(PRODUTIVIDADES!$M:$M,MATCH(tbAREAS[[#This Row],[TIPO DE ÁREA]],PRODUTIVIDADES!$B:$B,0)+MATCH(tbAREAS[[#This Row],[LOCALIDADE]],PRODUTIVIDADES!$A:$A,0)-3)*tbAREAS[[#This Row],[ÁREA EM M²]]</f>
        <v>42.685300000000005</v>
      </c>
      <c r="L850" s="391"/>
    </row>
    <row r="851" spans="1:12" hidden="1" x14ac:dyDescent="0.25">
      <c r="A851" s="228" t="s">
        <v>2</v>
      </c>
      <c r="B851" s="234" t="s">
        <v>327</v>
      </c>
      <c r="C851" s="230" t="s">
        <v>335</v>
      </c>
      <c r="D851" s="230" t="s">
        <v>161</v>
      </c>
      <c r="E851" s="229" t="s">
        <v>22</v>
      </c>
      <c r="F851" s="231">
        <v>251.09</v>
      </c>
      <c r="G851" s="229" t="s">
        <v>1</v>
      </c>
      <c r="H851" s="405">
        <f ca="1">INDEX(PRODUTIVIDADES!$M:$M,MATCH(tbAREAS[[#This Row],[TIPO DE ÁREA]],PRODUTIVIDADES!$B:$B,0)+MATCH(tbAREAS[[#This Row],[LOCALIDADE]],PRODUTIVIDADES!$A:$A,0)-3)*tbAREAS[[#This Row],[ÁREA EM M²]]</f>
        <v>100.43600000000001</v>
      </c>
      <c r="L851" s="391"/>
    </row>
    <row r="852" spans="1:12" hidden="1" x14ac:dyDescent="0.25">
      <c r="A852" s="228" t="s">
        <v>2</v>
      </c>
      <c r="B852" s="234" t="s">
        <v>327</v>
      </c>
      <c r="C852" s="230" t="s">
        <v>336</v>
      </c>
      <c r="D852" s="230" t="s">
        <v>337</v>
      </c>
      <c r="E852" s="229" t="s">
        <v>10</v>
      </c>
      <c r="F852" s="231">
        <v>78.2</v>
      </c>
      <c r="G852" s="229" t="s">
        <v>1</v>
      </c>
      <c r="H852" s="405">
        <f ca="1">INDEX(PRODUTIVIDADES!$M:$M,MATCH(tbAREAS[[#This Row],[TIPO DE ÁREA]],PRODUTIVIDADES!$B:$B,0)+MATCH(tbAREAS[[#This Row],[LOCALIDADE]],PRODUTIVIDADES!$A:$A,0)-3)*tbAREAS[[#This Row],[ÁREA EM M²]]</f>
        <v>243.98400000000001</v>
      </c>
      <c r="L852" s="391"/>
    </row>
    <row r="853" spans="1:12" hidden="1" x14ac:dyDescent="0.25">
      <c r="A853" s="228" t="s">
        <v>2</v>
      </c>
      <c r="B853" s="234" t="s">
        <v>327</v>
      </c>
      <c r="C853" s="230" t="s">
        <v>336</v>
      </c>
      <c r="D853" s="230" t="s">
        <v>337</v>
      </c>
      <c r="E853" s="229" t="s">
        <v>13</v>
      </c>
      <c r="F853" s="231">
        <v>70.900000000000006</v>
      </c>
      <c r="G853" s="229" t="s">
        <v>1</v>
      </c>
      <c r="H853" s="405">
        <f ca="1">INDEX(PRODUTIVIDADES!$M:$M,MATCH(tbAREAS[[#This Row],[TIPO DE ÁREA]],PRODUTIVIDADES!$B:$B,0)+MATCH(tbAREAS[[#This Row],[LOCALIDADE]],PRODUTIVIDADES!$A:$A,0)-3)*tbAREAS[[#This Row],[ÁREA EM M²]]</f>
        <v>221.20800000000003</v>
      </c>
      <c r="L853" s="391"/>
    </row>
    <row r="854" spans="1:12" hidden="1" x14ac:dyDescent="0.25">
      <c r="A854" s="228" t="s">
        <v>2</v>
      </c>
      <c r="B854" s="234" t="s">
        <v>327</v>
      </c>
      <c r="C854" s="230" t="s">
        <v>336</v>
      </c>
      <c r="D854" s="230" t="s">
        <v>337</v>
      </c>
      <c r="E854" s="229" t="s">
        <v>14</v>
      </c>
      <c r="F854" s="231">
        <v>171.07</v>
      </c>
      <c r="G854" s="229" t="s">
        <v>1</v>
      </c>
      <c r="H854" s="405">
        <f ca="1">INDEX(PRODUTIVIDADES!$M:$M,MATCH(tbAREAS[[#This Row],[TIPO DE ÁREA]],PRODUTIVIDADES!$B:$B,0)+MATCH(tbAREAS[[#This Row],[LOCALIDADE]],PRODUTIVIDADES!$A:$A,0)-3)*tbAREAS[[#This Row],[ÁREA EM M²]]</f>
        <v>1454.095</v>
      </c>
      <c r="L854" s="391"/>
    </row>
    <row r="855" spans="1:12" hidden="1" x14ac:dyDescent="0.25">
      <c r="A855" s="228" t="s">
        <v>2</v>
      </c>
      <c r="B855" s="234" t="s">
        <v>327</v>
      </c>
      <c r="C855" s="230" t="s">
        <v>336</v>
      </c>
      <c r="D855" s="230" t="s">
        <v>337</v>
      </c>
      <c r="E855" s="229" t="s">
        <v>15</v>
      </c>
      <c r="F855" s="231">
        <v>6</v>
      </c>
      <c r="G855" s="229" t="s">
        <v>1</v>
      </c>
      <c r="H855" s="405">
        <f ca="1">INDEX(PRODUTIVIDADES!$M:$M,MATCH(tbAREAS[[#This Row],[TIPO DE ÁREA]],PRODUTIVIDADES!$B:$B,0)+MATCH(tbAREAS[[#This Row],[LOCALIDADE]],PRODUTIVIDADES!$A:$A,0)-3)*tbAREAS[[#This Row],[ÁREA EM M²]]</f>
        <v>4.1399999999999997</v>
      </c>
      <c r="L855" s="391"/>
    </row>
    <row r="856" spans="1:12" hidden="1" x14ac:dyDescent="0.25">
      <c r="A856" s="228" t="s">
        <v>2</v>
      </c>
      <c r="B856" s="234" t="s">
        <v>327</v>
      </c>
      <c r="C856" s="230" t="s">
        <v>336</v>
      </c>
      <c r="D856" s="230" t="s">
        <v>337</v>
      </c>
      <c r="E856" s="229" t="s">
        <v>17</v>
      </c>
      <c r="F856" s="231">
        <v>79.87</v>
      </c>
      <c r="G856" s="229" t="s">
        <v>1</v>
      </c>
      <c r="H856" s="405">
        <f ca="1">INDEX(PRODUTIVIDADES!$M:$M,MATCH(tbAREAS[[#This Row],[TIPO DE ÁREA]],PRODUTIVIDADES!$B:$B,0)+MATCH(tbAREAS[[#This Row],[LOCALIDADE]],PRODUTIVIDADES!$A:$A,0)-3)*tbAREAS[[#This Row],[ÁREA EM M²]]</f>
        <v>186.89580000000001</v>
      </c>
      <c r="L856" s="391"/>
    </row>
    <row r="857" spans="1:12" hidden="1" x14ac:dyDescent="0.25">
      <c r="A857" s="228" t="s">
        <v>2</v>
      </c>
      <c r="B857" s="234" t="s">
        <v>327</v>
      </c>
      <c r="C857" s="230" t="s">
        <v>336</v>
      </c>
      <c r="D857" s="230" t="s">
        <v>337</v>
      </c>
      <c r="E857" s="229" t="s">
        <v>18</v>
      </c>
      <c r="F857" s="231">
        <v>6.17</v>
      </c>
      <c r="G857" s="229" t="s">
        <v>1</v>
      </c>
      <c r="H857" s="405">
        <f ca="1">INDEX(PRODUTIVIDADES!$M:$M,MATCH(tbAREAS[[#This Row],[TIPO DE ÁREA]],PRODUTIVIDADES!$B:$B,0)+MATCH(tbAREAS[[#This Row],[LOCALIDADE]],PRODUTIVIDADES!$A:$A,0)-3)*tbAREAS[[#This Row],[ÁREA EM M²]]</f>
        <v>279.80950000000001</v>
      </c>
      <c r="L857" s="391"/>
    </row>
    <row r="858" spans="1:12" hidden="1" x14ac:dyDescent="0.25">
      <c r="A858" s="228" t="s">
        <v>2</v>
      </c>
      <c r="B858" s="234" t="s">
        <v>327</v>
      </c>
      <c r="C858" s="230" t="s">
        <v>336</v>
      </c>
      <c r="D858" s="230" t="s">
        <v>337</v>
      </c>
      <c r="E858" s="229" t="s">
        <v>20</v>
      </c>
      <c r="F858" s="231">
        <v>53.69</v>
      </c>
      <c r="G858" s="229" t="s">
        <v>1</v>
      </c>
      <c r="H858" s="405">
        <f ca="1">INDEX(PRODUTIVIDADES!$M:$M,MATCH(tbAREAS[[#This Row],[TIPO DE ÁREA]],PRODUTIVIDADES!$B:$B,0)+MATCH(tbAREAS[[#This Row],[LOCALIDADE]],PRODUTIVIDADES!$A:$A,0)-3)*tbAREAS[[#This Row],[ÁREA EM M²]]</f>
        <v>41.8782</v>
      </c>
      <c r="L858" s="391"/>
    </row>
    <row r="859" spans="1:12" hidden="1" x14ac:dyDescent="0.25">
      <c r="A859" s="228" t="s">
        <v>2</v>
      </c>
      <c r="B859" s="234" t="s">
        <v>327</v>
      </c>
      <c r="C859" s="230" t="s">
        <v>336</v>
      </c>
      <c r="D859" s="230" t="s">
        <v>337</v>
      </c>
      <c r="E859" s="229" t="s">
        <v>21</v>
      </c>
      <c r="F859" s="231">
        <v>67.510000000000005</v>
      </c>
      <c r="G859" s="229" t="s">
        <v>1</v>
      </c>
      <c r="H859" s="405">
        <f ca="1">INDEX(PRODUTIVIDADES!$M:$M,MATCH(tbAREAS[[#This Row],[TIPO DE ÁREA]],PRODUTIVIDADES!$B:$B,0)+MATCH(tbAREAS[[#This Row],[LOCALIDADE]],PRODUTIVIDADES!$A:$A,0)-3)*tbAREAS[[#This Row],[ÁREA EM M²]]</f>
        <v>11.476700000000001</v>
      </c>
      <c r="L859" s="391"/>
    </row>
    <row r="860" spans="1:12" hidden="1" x14ac:dyDescent="0.25">
      <c r="A860" s="228" t="s">
        <v>2</v>
      </c>
      <c r="B860" s="234" t="s">
        <v>327</v>
      </c>
      <c r="C860" s="230" t="s">
        <v>336</v>
      </c>
      <c r="D860" s="230" t="s">
        <v>337</v>
      </c>
      <c r="E860" s="229" t="s">
        <v>22</v>
      </c>
      <c r="F860" s="231">
        <v>67.510000000000005</v>
      </c>
      <c r="G860" s="229" t="s">
        <v>1</v>
      </c>
      <c r="H860" s="405">
        <f ca="1">INDEX(PRODUTIVIDADES!$M:$M,MATCH(tbAREAS[[#This Row],[TIPO DE ÁREA]],PRODUTIVIDADES!$B:$B,0)+MATCH(tbAREAS[[#This Row],[LOCALIDADE]],PRODUTIVIDADES!$A:$A,0)-3)*tbAREAS[[#This Row],[ÁREA EM M²]]</f>
        <v>27.004000000000005</v>
      </c>
      <c r="L860" s="391"/>
    </row>
    <row r="861" spans="1:12" hidden="1" x14ac:dyDescent="0.25">
      <c r="A861" s="228" t="s">
        <v>2</v>
      </c>
      <c r="B861" s="234" t="s">
        <v>327</v>
      </c>
      <c r="C861" s="230" t="s">
        <v>338</v>
      </c>
      <c r="D861" s="230" t="s">
        <v>339</v>
      </c>
      <c r="E861" s="229" t="s">
        <v>10</v>
      </c>
      <c r="F861" s="231">
        <v>6.26</v>
      </c>
      <c r="G861" s="229" t="s">
        <v>1</v>
      </c>
      <c r="H861" s="405">
        <f ca="1">INDEX(PRODUTIVIDADES!$M:$M,MATCH(tbAREAS[[#This Row],[TIPO DE ÁREA]],PRODUTIVIDADES!$B:$B,0)+MATCH(tbAREAS[[#This Row],[LOCALIDADE]],PRODUTIVIDADES!$A:$A,0)-3)*tbAREAS[[#This Row],[ÁREA EM M²]]</f>
        <v>19.531199999999998</v>
      </c>
      <c r="L861" s="391"/>
    </row>
    <row r="862" spans="1:12" hidden="1" x14ac:dyDescent="0.25">
      <c r="A862" s="228" t="s">
        <v>2</v>
      </c>
      <c r="B862" s="234" t="s">
        <v>327</v>
      </c>
      <c r="C862" s="230" t="s">
        <v>338</v>
      </c>
      <c r="D862" s="230" t="s">
        <v>339</v>
      </c>
      <c r="E862" s="229" t="s">
        <v>15</v>
      </c>
      <c r="F862" s="231">
        <v>12.3</v>
      </c>
      <c r="G862" s="229" t="s">
        <v>1</v>
      </c>
      <c r="H862" s="405">
        <f ca="1">INDEX(PRODUTIVIDADES!$M:$M,MATCH(tbAREAS[[#This Row],[TIPO DE ÁREA]],PRODUTIVIDADES!$B:$B,0)+MATCH(tbAREAS[[#This Row],[LOCALIDADE]],PRODUTIVIDADES!$A:$A,0)-3)*tbAREAS[[#This Row],[ÁREA EM M²]]</f>
        <v>8.4870000000000001</v>
      </c>
      <c r="L862" s="391"/>
    </row>
    <row r="863" spans="1:12" hidden="1" x14ac:dyDescent="0.25">
      <c r="A863" s="228" t="s">
        <v>2</v>
      </c>
      <c r="B863" s="234" t="s">
        <v>327</v>
      </c>
      <c r="C863" s="230" t="s">
        <v>338</v>
      </c>
      <c r="D863" s="230" t="s">
        <v>339</v>
      </c>
      <c r="E863" s="229" t="s">
        <v>17</v>
      </c>
      <c r="F863" s="231">
        <v>1200.73</v>
      </c>
      <c r="G863" s="229" t="s">
        <v>1</v>
      </c>
      <c r="H863" s="405">
        <f ca="1">INDEX(PRODUTIVIDADES!$M:$M,MATCH(tbAREAS[[#This Row],[TIPO DE ÁREA]],PRODUTIVIDADES!$B:$B,0)+MATCH(tbAREAS[[#This Row],[LOCALIDADE]],PRODUTIVIDADES!$A:$A,0)-3)*tbAREAS[[#This Row],[ÁREA EM M²]]</f>
        <v>2809.7082</v>
      </c>
      <c r="L863" s="391"/>
    </row>
    <row r="864" spans="1:12" hidden="1" x14ac:dyDescent="0.25">
      <c r="A864" s="228" t="s">
        <v>2</v>
      </c>
      <c r="B864" s="234" t="s">
        <v>327</v>
      </c>
      <c r="C864" s="230" t="s">
        <v>338</v>
      </c>
      <c r="D864" s="230" t="s">
        <v>339</v>
      </c>
      <c r="E864" s="229" t="s">
        <v>18</v>
      </c>
      <c r="F864" s="231">
        <v>37.75</v>
      </c>
      <c r="G864" s="229" t="s">
        <v>1</v>
      </c>
      <c r="H864" s="405">
        <f ca="1">INDEX(PRODUTIVIDADES!$M:$M,MATCH(tbAREAS[[#This Row],[TIPO DE ÁREA]],PRODUTIVIDADES!$B:$B,0)+MATCH(tbAREAS[[#This Row],[LOCALIDADE]],PRODUTIVIDADES!$A:$A,0)-3)*tbAREAS[[#This Row],[ÁREA EM M²]]</f>
        <v>1711.9625000000001</v>
      </c>
      <c r="L864" s="391"/>
    </row>
    <row r="865" spans="1:12" hidden="1" x14ac:dyDescent="0.25">
      <c r="A865" s="228" t="s">
        <v>2</v>
      </c>
      <c r="B865" s="234" t="s">
        <v>327</v>
      </c>
      <c r="C865" s="230" t="s">
        <v>338</v>
      </c>
      <c r="D865" s="230" t="s">
        <v>339</v>
      </c>
      <c r="E865" s="229" t="s">
        <v>20</v>
      </c>
      <c r="F865" s="231">
        <v>228.29</v>
      </c>
      <c r="G865" s="229" t="s">
        <v>1</v>
      </c>
      <c r="H865" s="405">
        <f ca="1">INDEX(PRODUTIVIDADES!$M:$M,MATCH(tbAREAS[[#This Row],[TIPO DE ÁREA]],PRODUTIVIDADES!$B:$B,0)+MATCH(tbAREAS[[#This Row],[LOCALIDADE]],PRODUTIVIDADES!$A:$A,0)-3)*tbAREAS[[#This Row],[ÁREA EM M²]]</f>
        <v>178.06620000000001</v>
      </c>
      <c r="L865" s="391"/>
    </row>
    <row r="866" spans="1:12" hidden="1" x14ac:dyDescent="0.25">
      <c r="A866" s="228" t="s">
        <v>2</v>
      </c>
      <c r="B866" s="234" t="s">
        <v>327</v>
      </c>
      <c r="C866" s="230" t="s">
        <v>338</v>
      </c>
      <c r="D866" s="230" t="s">
        <v>339</v>
      </c>
      <c r="E866" s="229" t="s">
        <v>21</v>
      </c>
      <c r="F866" s="231">
        <v>54.62</v>
      </c>
      <c r="G866" s="229" t="s">
        <v>1</v>
      </c>
      <c r="H866" s="405">
        <f ca="1">INDEX(PRODUTIVIDADES!$M:$M,MATCH(tbAREAS[[#This Row],[TIPO DE ÁREA]],PRODUTIVIDADES!$B:$B,0)+MATCH(tbAREAS[[#This Row],[LOCALIDADE]],PRODUTIVIDADES!$A:$A,0)-3)*tbAREAS[[#This Row],[ÁREA EM M²]]</f>
        <v>9.285400000000001</v>
      </c>
      <c r="L866" s="391"/>
    </row>
    <row r="867" spans="1:12" hidden="1" x14ac:dyDescent="0.25">
      <c r="A867" s="228" t="s">
        <v>2</v>
      </c>
      <c r="B867" s="234" t="s">
        <v>327</v>
      </c>
      <c r="C867" s="230" t="s">
        <v>338</v>
      </c>
      <c r="D867" s="230" t="s">
        <v>339</v>
      </c>
      <c r="E867" s="229" t="s">
        <v>22</v>
      </c>
      <c r="F867" s="231">
        <v>54.62</v>
      </c>
      <c r="G867" s="229" t="s">
        <v>1</v>
      </c>
      <c r="H867" s="405">
        <f ca="1">INDEX(PRODUTIVIDADES!$M:$M,MATCH(tbAREAS[[#This Row],[TIPO DE ÁREA]],PRODUTIVIDADES!$B:$B,0)+MATCH(tbAREAS[[#This Row],[LOCALIDADE]],PRODUTIVIDADES!$A:$A,0)-3)*tbAREAS[[#This Row],[ÁREA EM M²]]</f>
        <v>21.847999999999999</v>
      </c>
      <c r="L867" s="391"/>
    </row>
    <row r="868" spans="1:12" hidden="1" x14ac:dyDescent="0.25">
      <c r="A868" s="228" t="s">
        <v>2</v>
      </c>
      <c r="B868" s="234" t="s">
        <v>340</v>
      </c>
      <c r="C868" s="230" t="s">
        <v>341</v>
      </c>
      <c r="D868" s="230" t="s">
        <v>342</v>
      </c>
      <c r="E868" s="229" t="s">
        <v>10</v>
      </c>
      <c r="F868" s="231">
        <v>560</v>
      </c>
      <c r="G868" s="229" t="s">
        <v>1</v>
      </c>
      <c r="H868" s="405">
        <f ca="1">INDEX(PRODUTIVIDADES!$M:$M,MATCH(tbAREAS[[#This Row],[TIPO DE ÁREA]],PRODUTIVIDADES!$B:$B,0)+MATCH(tbAREAS[[#This Row],[LOCALIDADE]],PRODUTIVIDADES!$A:$A,0)-3)*tbAREAS[[#This Row],[ÁREA EM M²]]</f>
        <v>1747.2</v>
      </c>
      <c r="L868" s="391"/>
    </row>
    <row r="869" spans="1:12" hidden="1" x14ac:dyDescent="0.25">
      <c r="A869" s="228" t="s">
        <v>2</v>
      </c>
      <c r="B869" s="234" t="s">
        <v>340</v>
      </c>
      <c r="C869" s="230" t="s">
        <v>341</v>
      </c>
      <c r="D869" s="230" t="s">
        <v>342</v>
      </c>
      <c r="E869" s="229" t="s">
        <v>17</v>
      </c>
      <c r="F869" s="231">
        <v>250</v>
      </c>
      <c r="G869" s="229" t="s">
        <v>1</v>
      </c>
      <c r="H869" s="405">
        <f ca="1">INDEX(PRODUTIVIDADES!$M:$M,MATCH(tbAREAS[[#This Row],[TIPO DE ÁREA]],PRODUTIVIDADES!$B:$B,0)+MATCH(tbAREAS[[#This Row],[LOCALIDADE]],PRODUTIVIDADES!$A:$A,0)-3)*tbAREAS[[#This Row],[ÁREA EM M²]]</f>
        <v>585</v>
      </c>
      <c r="L869" s="391"/>
    </row>
    <row r="870" spans="1:12" hidden="1" x14ac:dyDescent="0.25">
      <c r="A870" s="228" t="s">
        <v>2</v>
      </c>
      <c r="B870" s="234" t="s">
        <v>340</v>
      </c>
      <c r="C870" s="230" t="s">
        <v>341</v>
      </c>
      <c r="D870" s="230" t="s">
        <v>342</v>
      </c>
      <c r="E870" s="229" t="s">
        <v>18</v>
      </c>
      <c r="F870" s="231">
        <v>40</v>
      </c>
      <c r="G870" s="229" t="s">
        <v>1</v>
      </c>
      <c r="H870" s="405">
        <f ca="1">INDEX(PRODUTIVIDADES!$M:$M,MATCH(tbAREAS[[#This Row],[TIPO DE ÁREA]],PRODUTIVIDADES!$B:$B,0)+MATCH(tbAREAS[[#This Row],[LOCALIDADE]],PRODUTIVIDADES!$A:$A,0)-3)*tbAREAS[[#This Row],[ÁREA EM M²]]</f>
        <v>1814</v>
      </c>
      <c r="L870" s="391"/>
    </row>
    <row r="871" spans="1:12" hidden="1" x14ac:dyDescent="0.25">
      <c r="A871" s="228" t="s">
        <v>2</v>
      </c>
      <c r="B871" s="234" t="s">
        <v>340</v>
      </c>
      <c r="C871" s="230" t="s">
        <v>341</v>
      </c>
      <c r="D871" s="230" t="s">
        <v>342</v>
      </c>
      <c r="E871" s="229" t="s">
        <v>20</v>
      </c>
      <c r="F871" s="231">
        <v>273</v>
      </c>
      <c r="G871" s="229" t="s">
        <v>1</v>
      </c>
      <c r="H871" s="405">
        <f ca="1">INDEX(PRODUTIVIDADES!$M:$M,MATCH(tbAREAS[[#This Row],[TIPO DE ÁREA]],PRODUTIVIDADES!$B:$B,0)+MATCH(tbAREAS[[#This Row],[LOCALIDADE]],PRODUTIVIDADES!$A:$A,0)-3)*tbAREAS[[#This Row],[ÁREA EM M²]]</f>
        <v>212.94</v>
      </c>
      <c r="L871" s="391"/>
    </row>
    <row r="872" spans="1:12" hidden="1" x14ac:dyDescent="0.25">
      <c r="A872" s="228" t="s">
        <v>2</v>
      </c>
      <c r="B872" s="234" t="s">
        <v>340</v>
      </c>
      <c r="C872" s="230" t="s">
        <v>341</v>
      </c>
      <c r="D872" s="230" t="s">
        <v>342</v>
      </c>
      <c r="E872" s="229" t="s">
        <v>21</v>
      </c>
      <c r="F872" s="231">
        <v>202</v>
      </c>
      <c r="G872" s="229" t="s">
        <v>1</v>
      </c>
      <c r="H872" s="405">
        <f ca="1">INDEX(PRODUTIVIDADES!$M:$M,MATCH(tbAREAS[[#This Row],[TIPO DE ÁREA]],PRODUTIVIDADES!$B:$B,0)+MATCH(tbAREAS[[#This Row],[LOCALIDADE]],PRODUTIVIDADES!$A:$A,0)-3)*tbAREAS[[#This Row],[ÁREA EM M²]]</f>
        <v>34.340000000000003</v>
      </c>
      <c r="L872" s="391"/>
    </row>
    <row r="873" spans="1:12" hidden="1" x14ac:dyDescent="0.25">
      <c r="A873" s="228" t="s">
        <v>2</v>
      </c>
      <c r="B873" s="234" t="s">
        <v>340</v>
      </c>
      <c r="C873" s="230" t="s">
        <v>341</v>
      </c>
      <c r="D873" s="230" t="s">
        <v>342</v>
      </c>
      <c r="E873" s="229" t="s">
        <v>22</v>
      </c>
      <c r="F873" s="231">
        <v>202</v>
      </c>
      <c r="G873" s="229" t="s">
        <v>1</v>
      </c>
      <c r="H873" s="405">
        <f ca="1">INDEX(PRODUTIVIDADES!$M:$M,MATCH(tbAREAS[[#This Row],[TIPO DE ÁREA]],PRODUTIVIDADES!$B:$B,0)+MATCH(tbAREAS[[#This Row],[LOCALIDADE]],PRODUTIVIDADES!$A:$A,0)-3)*tbAREAS[[#This Row],[ÁREA EM M²]]</f>
        <v>80.800000000000011</v>
      </c>
      <c r="L873" s="391"/>
    </row>
    <row r="874" spans="1:12" hidden="1" x14ac:dyDescent="0.25">
      <c r="A874" s="228" t="s">
        <v>2</v>
      </c>
      <c r="B874" s="234" t="s">
        <v>340</v>
      </c>
      <c r="C874" s="230" t="s">
        <v>343</v>
      </c>
      <c r="D874" s="230" t="s">
        <v>344</v>
      </c>
      <c r="E874" s="229" t="s">
        <v>9</v>
      </c>
      <c r="F874" s="231">
        <v>110</v>
      </c>
      <c r="G874" s="229" t="s">
        <v>1</v>
      </c>
      <c r="H874" s="405">
        <f ca="1">INDEX(PRODUTIVIDADES!$M:$M,MATCH(tbAREAS[[#This Row],[TIPO DE ÁREA]],PRODUTIVIDADES!$B:$B,0)+MATCH(tbAREAS[[#This Row],[LOCALIDADE]],PRODUTIVIDADES!$A:$A,0)-3)*tbAREAS[[#This Row],[ÁREA EM M²]]</f>
        <v>858</v>
      </c>
      <c r="L874" s="391"/>
    </row>
    <row r="875" spans="1:12" hidden="1" x14ac:dyDescent="0.25">
      <c r="A875" s="228" t="s">
        <v>2</v>
      </c>
      <c r="B875" s="234" t="s">
        <v>340</v>
      </c>
      <c r="C875" s="230" t="s">
        <v>343</v>
      </c>
      <c r="D875" s="230" t="s">
        <v>344</v>
      </c>
      <c r="E875" s="229" t="s">
        <v>11</v>
      </c>
      <c r="F875" s="231">
        <v>220</v>
      </c>
      <c r="G875" s="229" t="s">
        <v>1</v>
      </c>
      <c r="H875" s="405">
        <f ca="1">INDEX(PRODUTIVIDADES!$M:$M,MATCH(tbAREAS[[#This Row],[TIPO DE ÁREA]],PRODUTIVIDADES!$B:$B,0)+MATCH(tbAREAS[[#This Row],[LOCALIDADE]],PRODUTIVIDADES!$A:$A,0)-3)*tbAREAS[[#This Row],[ÁREA EM M²]]</f>
        <v>686.4</v>
      </c>
      <c r="L875" s="391"/>
    </row>
    <row r="876" spans="1:12" hidden="1" x14ac:dyDescent="0.25">
      <c r="A876" s="228" t="s">
        <v>2</v>
      </c>
      <c r="B876" s="234" t="s">
        <v>340</v>
      </c>
      <c r="C876" s="230" t="s">
        <v>343</v>
      </c>
      <c r="D876" s="230" t="s">
        <v>344</v>
      </c>
      <c r="E876" s="229" t="s">
        <v>15</v>
      </c>
      <c r="F876" s="231">
        <v>54</v>
      </c>
      <c r="G876" s="229" t="s">
        <v>1</v>
      </c>
      <c r="H876" s="405">
        <f ca="1">INDEX(PRODUTIVIDADES!$M:$M,MATCH(tbAREAS[[#This Row],[TIPO DE ÁREA]],PRODUTIVIDADES!$B:$B,0)+MATCH(tbAREAS[[#This Row],[LOCALIDADE]],PRODUTIVIDADES!$A:$A,0)-3)*tbAREAS[[#This Row],[ÁREA EM M²]]</f>
        <v>37.26</v>
      </c>
      <c r="L876" s="391"/>
    </row>
    <row r="877" spans="1:12" hidden="1" x14ac:dyDescent="0.25">
      <c r="A877" s="228" t="s">
        <v>2</v>
      </c>
      <c r="B877" s="234" t="s">
        <v>340</v>
      </c>
      <c r="C877" s="230" t="s">
        <v>343</v>
      </c>
      <c r="D877" s="230" t="s">
        <v>344</v>
      </c>
      <c r="E877" s="229" t="s">
        <v>18</v>
      </c>
      <c r="F877" s="231">
        <v>3.5</v>
      </c>
      <c r="G877" s="229" t="s">
        <v>1</v>
      </c>
      <c r="H877" s="405">
        <f ca="1">INDEX(PRODUTIVIDADES!$M:$M,MATCH(tbAREAS[[#This Row],[TIPO DE ÁREA]],PRODUTIVIDADES!$B:$B,0)+MATCH(tbAREAS[[#This Row],[LOCALIDADE]],PRODUTIVIDADES!$A:$A,0)-3)*tbAREAS[[#This Row],[ÁREA EM M²]]</f>
        <v>158.72499999999999</v>
      </c>
      <c r="L877" s="391"/>
    </row>
    <row r="878" spans="1:12" hidden="1" x14ac:dyDescent="0.25">
      <c r="A878" s="228" t="s">
        <v>2</v>
      </c>
      <c r="B878" s="234" t="s">
        <v>340</v>
      </c>
      <c r="C878" s="230" t="s">
        <v>343</v>
      </c>
      <c r="D878" s="230" t="s">
        <v>344</v>
      </c>
      <c r="E878" s="229" t="s">
        <v>20</v>
      </c>
      <c r="F878" s="231">
        <v>393</v>
      </c>
      <c r="G878" s="229" t="s">
        <v>1</v>
      </c>
      <c r="H878" s="405">
        <f ca="1">INDEX(PRODUTIVIDADES!$M:$M,MATCH(tbAREAS[[#This Row],[TIPO DE ÁREA]],PRODUTIVIDADES!$B:$B,0)+MATCH(tbAREAS[[#This Row],[LOCALIDADE]],PRODUTIVIDADES!$A:$A,0)-3)*tbAREAS[[#This Row],[ÁREA EM M²]]</f>
        <v>306.54000000000002</v>
      </c>
      <c r="L878" s="391"/>
    </row>
    <row r="879" spans="1:12" hidden="1" x14ac:dyDescent="0.25">
      <c r="A879" s="228" t="s">
        <v>2</v>
      </c>
      <c r="B879" s="234" t="s">
        <v>340</v>
      </c>
      <c r="C879" s="230" t="s">
        <v>343</v>
      </c>
      <c r="D879" s="230" t="s">
        <v>344</v>
      </c>
      <c r="E879" s="229" t="s">
        <v>21</v>
      </c>
      <c r="F879" s="231">
        <v>135</v>
      </c>
      <c r="G879" s="229" t="s">
        <v>1</v>
      </c>
      <c r="H879" s="405">
        <f ca="1">INDEX(PRODUTIVIDADES!$M:$M,MATCH(tbAREAS[[#This Row],[TIPO DE ÁREA]],PRODUTIVIDADES!$B:$B,0)+MATCH(tbAREAS[[#This Row],[LOCALIDADE]],PRODUTIVIDADES!$A:$A,0)-3)*tbAREAS[[#This Row],[ÁREA EM M²]]</f>
        <v>22.950000000000003</v>
      </c>
      <c r="L879" s="391"/>
    </row>
    <row r="880" spans="1:12" hidden="1" x14ac:dyDescent="0.25">
      <c r="A880" s="228" t="s">
        <v>2</v>
      </c>
      <c r="B880" s="234" t="s">
        <v>340</v>
      </c>
      <c r="C880" s="230" t="s">
        <v>343</v>
      </c>
      <c r="D880" s="230" t="s">
        <v>344</v>
      </c>
      <c r="E880" s="229" t="s">
        <v>22</v>
      </c>
      <c r="F880" s="231">
        <v>135</v>
      </c>
      <c r="G880" s="229" t="s">
        <v>1</v>
      </c>
      <c r="H880" s="405">
        <f ca="1">INDEX(PRODUTIVIDADES!$M:$M,MATCH(tbAREAS[[#This Row],[TIPO DE ÁREA]],PRODUTIVIDADES!$B:$B,0)+MATCH(tbAREAS[[#This Row],[LOCALIDADE]],PRODUTIVIDADES!$A:$A,0)-3)*tbAREAS[[#This Row],[ÁREA EM M²]]</f>
        <v>54</v>
      </c>
      <c r="L880" s="391"/>
    </row>
    <row r="881" spans="1:12" hidden="1" x14ac:dyDescent="0.25">
      <c r="A881" s="228" t="s">
        <v>2</v>
      </c>
      <c r="B881" s="234" t="s">
        <v>340</v>
      </c>
      <c r="C881" s="230" t="s">
        <v>345</v>
      </c>
      <c r="D881" s="230" t="s">
        <v>346</v>
      </c>
      <c r="E881" s="229" t="s">
        <v>10</v>
      </c>
      <c r="F881" s="231">
        <v>166.12</v>
      </c>
      <c r="G881" s="229" t="s">
        <v>1</v>
      </c>
      <c r="H881" s="405">
        <f ca="1">INDEX(PRODUTIVIDADES!$M:$M,MATCH(tbAREAS[[#This Row],[TIPO DE ÁREA]],PRODUTIVIDADES!$B:$B,0)+MATCH(tbAREAS[[#This Row],[LOCALIDADE]],PRODUTIVIDADES!$A:$A,0)-3)*tbAREAS[[#This Row],[ÁREA EM M²]]</f>
        <v>518.2944</v>
      </c>
      <c r="L881" s="391"/>
    </row>
    <row r="882" spans="1:12" hidden="1" x14ac:dyDescent="0.25">
      <c r="A882" s="228" t="s">
        <v>2</v>
      </c>
      <c r="B882" s="234" t="s">
        <v>340</v>
      </c>
      <c r="C882" s="230" t="s">
        <v>345</v>
      </c>
      <c r="D882" s="230" t="s">
        <v>346</v>
      </c>
      <c r="E882" s="229" t="s">
        <v>14</v>
      </c>
      <c r="F882" s="231">
        <v>247.1</v>
      </c>
      <c r="G882" s="229" t="s">
        <v>1</v>
      </c>
      <c r="H882" s="405">
        <f ca="1">INDEX(PRODUTIVIDADES!$M:$M,MATCH(tbAREAS[[#This Row],[TIPO DE ÁREA]],PRODUTIVIDADES!$B:$B,0)+MATCH(tbAREAS[[#This Row],[LOCALIDADE]],PRODUTIVIDADES!$A:$A,0)-3)*tbAREAS[[#This Row],[ÁREA EM M²]]</f>
        <v>2100.35</v>
      </c>
      <c r="L882" s="391"/>
    </row>
    <row r="883" spans="1:12" hidden="1" x14ac:dyDescent="0.25">
      <c r="A883" s="228" t="s">
        <v>2</v>
      </c>
      <c r="B883" s="234" t="s">
        <v>340</v>
      </c>
      <c r="C883" s="230" t="s">
        <v>345</v>
      </c>
      <c r="D883" s="230" t="s">
        <v>346</v>
      </c>
      <c r="E883" s="229" t="s">
        <v>17</v>
      </c>
      <c r="F883" s="231">
        <v>94.39</v>
      </c>
      <c r="G883" s="229" t="s">
        <v>1</v>
      </c>
      <c r="H883" s="405">
        <f ca="1">INDEX(PRODUTIVIDADES!$M:$M,MATCH(tbAREAS[[#This Row],[TIPO DE ÁREA]],PRODUTIVIDADES!$B:$B,0)+MATCH(tbAREAS[[#This Row],[LOCALIDADE]],PRODUTIVIDADES!$A:$A,0)-3)*tbAREAS[[#This Row],[ÁREA EM M²]]</f>
        <v>220.87259999999998</v>
      </c>
      <c r="L883" s="391"/>
    </row>
    <row r="884" spans="1:12" hidden="1" x14ac:dyDescent="0.25">
      <c r="A884" s="228" t="s">
        <v>2</v>
      </c>
      <c r="B884" s="234" t="s">
        <v>340</v>
      </c>
      <c r="C884" s="230" t="s">
        <v>345</v>
      </c>
      <c r="D884" s="230" t="s">
        <v>346</v>
      </c>
      <c r="E884" s="229" t="s">
        <v>18</v>
      </c>
      <c r="F884" s="231">
        <v>16.62</v>
      </c>
      <c r="G884" s="229" t="s">
        <v>1</v>
      </c>
      <c r="H884" s="405">
        <f ca="1">INDEX(PRODUTIVIDADES!$M:$M,MATCH(tbAREAS[[#This Row],[TIPO DE ÁREA]],PRODUTIVIDADES!$B:$B,0)+MATCH(tbAREAS[[#This Row],[LOCALIDADE]],PRODUTIVIDADES!$A:$A,0)-3)*tbAREAS[[#This Row],[ÁREA EM M²]]</f>
        <v>753.7170000000001</v>
      </c>
      <c r="L884" s="391"/>
    </row>
    <row r="885" spans="1:12" hidden="1" x14ac:dyDescent="0.25">
      <c r="A885" s="228" t="s">
        <v>2</v>
      </c>
      <c r="B885" s="234" t="s">
        <v>340</v>
      </c>
      <c r="C885" s="230" t="s">
        <v>345</v>
      </c>
      <c r="D885" s="230" t="s">
        <v>346</v>
      </c>
      <c r="E885" s="229" t="s">
        <v>20</v>
      </c>
      <c r="F885" s="231">
        <v>70.64</v>
      </c>
      <c r="G885" s="229" t="s">
        <v>1</v>
      </c>
      <c r="H885" s="405">
        <f ca="1">INDEX(PRODUTIVIDADES!$M:$M,MATCH(tbAREAS[[#This Row],[TIPO DE ÁREA]],PRODUTIVIDADES!$B:$B,0)+MATCH(tbAREAS[[#This Row],[LOCALIDADE]],PRODUTIVIDADES!$A:$A,0)-3)*tbAREAS[[#This Row],[ÁREA EM M²]]</f>
        <v>55.099200000000003</v>
      </c>
      <c r="L885" s="391"/>
    </row>
    <row r="886" spans="1:12" hidden="1" x14ac:dyDescent="0.25">
      <c r="A886" s="228" t="s">
        <v>2</v>
      </c>
      <c r="B886" s="234" t="s">
        <v>340</v>
      </c>
      <c r="C886" s="230" t="s">
        <v>345</v>
      </c>
      <c r="D886" s="230" t="s">
        <v>346</v>
      </c>
      <c r="E886" s="229" t="s">
        <v>21</v>
      </c>
      <c r="F886" s="231">
        <v>240</v>
      </c>
      <c r="G886" s="229" t="s">
        <v>1</v>
      </c>
      <c r="H886" s="405">
        <f ca="1">INDEX(PRODUTIVIDADES!$M:$M,MATCH(tbAREAS[[#This Row],[TIPO DE ÁREA]],PRODUTIVIDADES!$B:$B,0)+MATCH(tbAREAS[[#This Row],[LOCALIDADE]],PRODUTIVIDADES!$A:$A,0)-3)*tbAREAS[[#This Row],[ÁREA EM M²]]</f>
        <v>40.800000000000004</v>
      </c>
      <c r="L886" s="391"/>
    </row>
    <row r="887" spans="1:12" hidden="1" x14ac:dyDescent="0.25">
      <c r="A887" s="228" t="s">
        <v>2</v>
      </c>
      <c r="B887" s="234" t="s">
        <v>340</v>
      </c>
      <c r="C887" s="230" t="s">
        <v>345</v>
      </c>
      <c r="D887" s="230" t="s">
        <v>346</v>
      </c>
      <c r="E887" s="229" t="s">
        <v>22</v>
      </c>
      <c r="F887" s="231">
        <v>240</v>
      </c>
      <c r="G887" s="229" t="s">
        <v>1</v>
      </c>
      <c r="H887" s="405">
        <f ca="1">INDEX(PRODUTIVIDADES!$M:$M,MATCH(tbAREAS[[#This Row],[TIPO DE ÁREA]],PRODUTIVIDADES!$B:$B,0)+MATCH(tbAREAS[[#This Row],[LOCALIDADE]],PRODUTIVIDADES!$A:$A,0)-3)*tbAREAS[[#This Row],[ÁREA EM M²]]</f>
        <v>96</v>
      </c>
      <c r="L887" s="391"/>
    </row>
    <row r="888" spans="1:12" hidden="1" x14ac:dyDescent="0.25">
      <c r="A888" s="228" t="s">
        <v>2</v>
      </c>
      <c r="B888" s="234" t="s">
        <v>340</v>
      </c>
      <c r="C888" s="230" t="s">
        <v>347</v>
      </c>
      <c r="D888" s="230" t="s">
        <v>348</v>
      </c>
      <c r="E888" s="229" t="s">
        <v>9</v>
      </c>
      <c r="F888" s="231">
        <v>268.16000000000003</v>
      </c>
      <c r="G888" s="229" t="s">
        <v>1</v>
      </c>
      <c r="H888" s="405">
        <f ca="1">INDEX(PRODUTIVIDADES!$M:$M,MATCH(tbAREAS[[#This Row],[TIPO DE ÁREA]],PRODUTIVIDADES!$B:$B,0)+MATCH(tbAREAS[[#This Row],[LOCALIDADE]],PRODUTIVIDADES!$A:$A,0)-3)*tbAREAS[[#This Row],[ÁREA EM M²]]</f>
        <v>2091.6480000000001</v>
      </c>
      <c r="L888" s="391"/>
    </row>
    <row r="889" spans="1:12" hidden="1" x14ac:dyDescent="0.25">
      <c r="A889" s="228" t="s">
        <v>2</v>
      </c>
      <c r="B889" s="234" t="s">
        <v>340</v>
      </c>
      <c r="C889" s="230" t="s">
        <v>347</v>
      </c>
      <c r="D889" s="230" t="s">
        <v>348</v>
      </c>
      <c r="E889" s="229" t="s">
        <v>10</v>
      </c>
      <c r="F889" s="231">
        <v>44.08</v>
      </c>
      <c r="G889" s="229" t="s">
        <v>1</v>
      </c>
      <c r="H889" s="405">
        <f ca="1">INDEX(PRODUTIVIDADES!$M:$M,MATCH(tbAREAS[[#This Row],[TIPO DE ÁREA]],PRODUTIVIDADES!$B:$B,0)+MATCH(tbAREAS[[#This Row],[LOCALIDADE]],PRODUTIVIDADES!$A:$A,0)-3)*tbAREAS[[#This Row],[ÁREA EM M²]]</f>
        <v>137.52959999999999</v>
      </c>
      <c r="L889" s="391"/>
    </row>
    <row r="890" spans="1:12" hidden="1" x14ac:dyDescent="0.25">
      <c r="A890" s="228" t="s">
        <v>2</v>
      </c>
      <c r="B890" s="234" t="s">
        <v>340</v>
      </c>
      <c r="C890" s="230" t="s">
        <v>347</v>
      </c>
      <c r="D890" s="230" t="s">
        <v>348</v>
      </c>
      <c r="E890" s="229" t="s">
        <v>14</v>
      </c>
      <c r="F890" s="231">
        <v>130.22</v>
      </c>
      <c r="G890" s="229" t="s">
        <v>1</v>
      </c>
      <c r="H890" s="405">
        <f ca="1">INDEX(PRODUTIVIDADES!$M:$M,MATCH(tbAREAS[[#This Row],[TIPO DE ÁREA]],PRODUTIVIDADES!$B:$B,0)+MATCH(tbAREAS[[#This Row],[LOCALIDADE]],PRODUTIVIDADES!$A:$A,0)-3)*tbAREAS[[#This Row],[ÁREA EM M²]]</f>
        <v>1106.8699999999999</v>
      </c>
      <c r="L890" s="391"/>
    </row>
    <row r="891" spans="1:12" hidden="1" x14ac:dyDescent="0.25">
      <c r="A891" s="228" t="s">
        <v>2</v>
      </c>
      <c r="B891" s="234" t="s">
        <v>340</v>
      </c>
      <c r="C891" s="230" t="s">
        <v>347</v>
      </c>
      <c r="D891" s="230" t="s">
        <v>348</v>
      </c>
      <c r="E891" s="229" t="s">
        <v>17</v>
      </c>
      <c r="F891" s="231">
        <v>99.86</v>
      </c>
      <c r="G891" s="229" t="s">
        <v>1</v>
      </c>
      <c r="H891" s="405">
        <f ca="1">INDEX(PRODUTIVIDADES!$M:$M,MATCH(tbAREAS[[#This Row],[TIPO DE ÁREA]],PRODUTIVIDADES!$B:$B,0)+MATCH(tbAREAS[[#This Row],[LOCALIDADE]],PRODUTIVIDADES!$A:$A,0)-3)*tbAREAS[[#This Row],[ÁREA EM M²]]</f>
        <v>233.67239999999998</v>
      </c>
      <c r="L891" s="391"/>
    </row>
    <row r="892" spans="1:12" hidden="1" x14ac:dyDescent="0.25">
      <c r="A892" s="228" t="s">
        <v>2</v>
      </c>
      <c r="B892" s="234" t="s">
        <v>340</v>
      </c>
      <c r="C892" s="230" t="s">
        <v>347</v>
      </c>
      <c r="D892" s="230" t="s">
        <v>348</v>
      </c>
      <c r="E892" s="229" t="s">
        <v>20</v>
      </c>
      <c r="F892" s="231">
        <v>19.27</v>
      </c>
      <c r="G892" s="229" t="s">
        <v>1</v>
      </c>
      <c r="H892" s="405">
        <f ca="1">INDEX(PRODUTIVIDADES!$M:$M,MATCH(tbAREAS[[#This Row],[TIPO DE ÁREA]],PRODUTIVIDADES!$B:$B,0)+MATCH(tbAREAS[[#This Row],[LOCALIDADE]],PRODUTIVIDADES!$A:$A,0)-3)*tbAREAS[[#This Row],[ÁREA EM M²]]</f>
        <v>15.0306</v>
      </c>
      <c r="L892" s="391"/>
    </row>
    <row r="893" spans="1:12" hidden="1" x14ac:dyDescent="0.25">
      <c r="A893" s="228" t="s">
        <v>2</v>
      </c>
      <c r="B893" s="234" t="s">
        <v>340</v>
      </c>
      <c r="C893" s="230" t="s">
        <v>347</v>
      </c>
      <c r="D893" s="230" t="s">
        <v>348</v>
      </c>
      <c r="E893" s="229" t="s">
        <v>21</v>
      </c>
      <c r="F893" s="231">
        <v>230</v>
      </c>
      <c r="G893" s="229" t="s">
        <v>1</v>
      </c>
      <c r="H893" s="405">
        <f ca="1">INDEX(PRODUTIVIDADES!$M:$M,MATCH(tbAREAS[[#This Row],[TIPO DE ÁREA]],PRODUTIVIDADES!$B:$B,0)+MATCH(tbAREAS[[#This Row],[LOCALIDADE]],PRODUTIVIDADES!$A:$A,0)-3)*tbAREAS[[#This Row],[ÁREA EM M²]]</f>
        <v>39.1</v>
      </c>
      <c r="L893" s="391"/>
    </row>
    <row r="894" spans="1:12" hidden="1" x14ac:dyDescent="0.25">
      <c r="A894" s="228" t="s">
        <v>2</v>
      </c>
      <c r="B894" s="234" t="s">
        <v>340</v>
      </c>
      <c r="C894" s="230" t="s">
        <v>347</v>
      </c>
      <c r="D894" s="230" t="s">
        <v>348</v>
      </c>
      <c r="E894" s="229" t="s">
        <v>22</v>
      </c>
      <c r="F894" s="231">
        <v>142.22999999999999</v>
      </c>
      <c r="G894" s="229" t="s">
        <v>1</v>
      </c>
      <c r="H894" s="405">
        <f ca="1">INDEX(PRODUTIVIDADES!$M:$M,MATCH(tbAREAS[[#This Row],[TIPO DE ÁREA]],PRODUTIVIDADES!$B:$B,0)+MATCH(tbAREAS[[#This Row],[LOCALIDADE]],PRODUTIVIDADES!$A:$A,0)-3)*tbAREAS[[#This Row],[ÁREA EM M²]]</f>
        <v>56.891999999999996</v>
      </c>
      <c r="L894" s="391"/>
    </row>
    <row r="895" spans="1:12" hidden="1" x14ac:dyDescent="0.25">
      <c r="A895" s="228" t="s">
        <v>2</v>
      </c>
      <c r="B895" s="234" t="s">
        <v>340</v>
      </c>
      <c r="C895" s="230" t="s">
        <v>349</v>
      </c>
      <c r="D895" s="230" t="s">
        <v>350</v>
      </c>
      <c r="E895" s="229" t="s">
        <v>9</v>
      </c>
      <c r="F895" s="231">
        <v>271.08999999999997</v>
      </c>
      <c r="G895" s="229" t="s">
        <v>1</v>
      </c>
      <c r="H895" s="405">
        <f ca="1">INDEX(PRODUTIVIDADES!$M:$M,MATCH(tbAREAS[[#This Row],[TIPO DE ÁREA]],PRODUTIVIDADES!$B:$B,0)+MATCH(tbAREAS[[#This Row],[LOCALIDADE]],PRODUTIVIDADES!$A:$A,0)-3)*tbAREAS[[#This Row],[ÁREA EM M²]]</f>
        <v>2114.502</v>
      </c>
      <c r="L895" s="391"/>
    </row>
    <row r="896" spans="1:12" hidden="1" x14ac:dyDescent="0.25">
      <c r="A896" s="228" t="s">
        <v>2</v>
      </c>
      <c r="B896" s="234" t="s">
        <v>340</v>
      </c>
      <c r="C896" s="230" t="s">
        <v>349</v>
      </c>
      <c r="D896" s="230" t="s">
        <v>350</v>
      </c>
      <c r="E896" s="229" t="s">
        <v>10</v>
      </c>
      <c r="F896" s="231">
        <v>281.39</v>
      </c>
      <c r="G896" s="229" t="s">
        <v>1</v>
      </c>
      <c r="H896" s="405">
        <f ca="1">INDEX(PRODUTIVIDADES!$M:$M,MATCH(tbAREAS[[#This Row],[TIPO DE ÁREA]],PRODUTIVIDADES!$B:$B,0)+MATCH(tbAREAS[[#This Row],[LOCALIDADE]],PRODUTIVIDADES!$A:$A,0)-3)*tbAREAS[[#This Row],[ÁREA EM M²]]</f>
        <v>877.93679999999995</v>
      </c>
      <c r="L896" s="391"/>
    </row>
    <row r="897" spans="1:12" hidden="1" x14ac:dyDescent="0.25">
      <c r="A897" s="228" t="s">
        <v>2</v>
      </c>
      <c r="B897" s="234" t="s">
        <v>340</v>
      </c>
      <c r="C897" s="230" t="s">
        <v>349</v>
      </c>
      <c r="D897" s="230" t="s">
        <v>350</v>
      </c>
      <c r="E897" s="229" t="s">
        <v>14</v>
      </c>
      <c r="F897" s="231">
        <v>105.02</v>
      </c>
      <c r="G897" s="229" t="s">
        <v>1</v>
      </c>
      <c r="H897" s="405">
        <f ca="1">INDEX(PRODUTIVIDADES!$M:$M,MATCH(tbAREAS[[#This Row],[TIPO DE ÁREA]],PRODUTIVIDADES!$B:$B,0)+MATCH(tbAREAS[[#This Row],[LOCALIDADE]],PRODUTIVIDADES!$A:$A,0)-3)*tbAREAS[[#This Row],[ÁREA EM M²]]</f>
        <v>892.67</v>
      </c>
      <c r="L897" s="391"/>
    </row>
    <row r="898" spans="1:12" hidden="1" x14ac:dyDescent="0.25">
      <c r="A898" s="228" t="s">
        <v>2</v>
      </c>
      <c r="B898" s="234" t="s">
        <v>340</v>
      </c>
      <c r="C898" s="230" t="s">
        <v>349</v>
      </c>
      <c r="D898" s="230" t="s">
        <v>350</v>
      </c>
      <c r="E898" s="229" t="s">
        <v>17</v>
      </c>
      <c r="F898" s="231">
        <v>191.97</v>
      </c>
      <c r="G898" s="229" t="s">
        <v>1</v>
      </c>
      <c r="H898" s="405">
        <f ca="1">INDEX(PRODUTIVIDADES!$M:$M,MATCH(tbAREAS[[#This Row],[TIPO DE ÁREA]],PRODUTIVIDADES!$B:$B,0)+MATCH(tbAREAS[[#This Row],[LOCALIDADE]],PRODUTIVIDADES!$A:$A,0)-3)*tbAREAS[[#This Row],[ÁREA EM M²]]</f>
        <v>449.20979999999997</v>
      </c>
      <c r="L898" s="391"/>
    </row>
    <row r="899" spans="1:12" hidden="1" x14ac:dyDescent="0.25">
      <c r="A899" s="228" t="s">
        <v>2</v>
      </c>
      <c r="B899" s="234" t="s">
        <v>340</v>
      </c>
      <c r="C899" s="230" t="s">
        <v>349</v>
      </c>
      <c r="D899" s="230" t="s">
        <v>350</v>
      </c>
      <c r="E899" s="229" t="s">
        <v>18</v>
      </c>
      <c r="F899" s="231">
        <v>59.09</v>
      </c>
      <c r="G899" s="229" t="s">
        <v>1</v>
      </c>
      <c r="H899" s="405">
        <f ca="1">INDEX(PRODUTIVIDADES!$M:$M,MATCH(tbAREAS[[#This Row],[TIPO DE ÁREA]],PRODUTIVIDADES!$B:$B,0)+MATCH(tbAREAS[[#This Row],[LOCALIDADE]],PRODUTIVIDADES!$A:$A,0)-3)*tbAREAS[[#This Row],[ÁREA EM M²]]</f>
        <v>2679.7315000000003</v>
      </c>
      <c r="L899" s="391"/>
    </row>
    <row r="900" spans="1:12" hidden="1" x14ac:dyDescent="0.25">
      <c r="A900" s="228" t="s">
        <v>2</v>
      </c>
      <c r="B900" s="234" t="s">
        <v>340</v>
      </c>
      <c r="C900" s="230" t="s">
        <v>349</v>
      </c>
      <c r="D900" s="230" t="s">
        <v>350</v>
      </c>
      <c r="E900" s="229" t="s">
        <v>20</v>
      </c>
      <c r="F900" s="231">
        <v>43.25</v>
      </c>
      <c r="G900" s="229" t="s">
        <v>1</v>
      </c>
      <c r="H900" s="405">
        <f ca="1">INDEX(PRODUTIVIDADES!$M:$M,MATCH(tbAREAS[[#This Row],[TIPO DE ÁREA]],PRODUTIVIDADES!$B:$B,0)+MATCH(tbAREAS[[#This Row],[LOCALIDADE]],PRODUTIVIDADES!$A:$A,0)-3)*tbAREAS[[#This Row],[ÁREA EM M²]]</f>
        <v>33.734999999999999</v>
      </c>
      <c r="L900" s="391"/>
    </row>
    <row r="901" spans="1:12" hidden="1" x14ac:dyDescent="0.25">
      <c r="A901" s="228" t="s">
        <v>2</v>
      </c>
      <c r="B901" s="234" t="s">
        <v>340</v>
      </c>
      <c r="C901" s="230" t="s">
        <v>349</v>
      </c>
      <c r="D901" s="230" t="s">
        <v>350</v>
      </c>
      <c r="E901" s="229" t="s">
        <v>21</v>
      </c>
      <c r="F901" s="231">
        <v>246.62</v>
      </c>
      <c r="G901" s="229" t="s">
        <v>1</v>
      </c>
      <c r="H901" s="405">
        <f ca="1">INDEX(PRODUTIVIDADES!$M:$M,MATCH(tbAREAS[[#This Row],[TIPO DE ÁREA]],PRODUTIVIDADES!$B:$B,0)+MATCH(tbAREAS[[#This Row],[LOCALIDADE]],PRODUTIVIDADES!$A:$A,0)-3)*tbAREAS[[#This Row],[ÁREA EM M²]]</f>
        <v>41.925400000000003</v>
      </c>
      <c r="L901" s="391"/>
    </row>
    <row r="902" spans="1:12" hidden="1" x14ac:dyDescent="0.25">
      <c r="A902" s="228" t="s">
        <v>2</v>
      </c>
      <c r="B902" s="234" t="s">
        <v>340</v>
      </c>
      <c r="C902" s="230" t="s">
        <v>349</v>
      </c>
      <c r="D902" s="230" t="s">
        <v>350</v>
      </c>
      <c r="E902" s="229" t="s">
        <v>22</v>
      </c>
      <c r="F902" s="231">
        <v>140.87</v>
      </c>
      <c r="G902" s="229" t="s">
        <v>1</v>
      </c>
      <c r="H902" s="405">
        <f ca="1">INDEX(PRODUTIVIDADES!$M:$M,MATCH(tbAREAS[[#This Row],[TIPO DE ÁREA]],PRODUTIVIDADES!$B:$B,0)+MATCH(tbAREAS[[#This Row],[LOCALIDADE]],PRODUTIVIDADES!$A:$A,0)-3)*tbAREAS[[#This Row],[ÁREA EM M²]]</f>
        <v>56.348000000000006</v>
      </c>
      <c r="L902" s="391"/>
    </row>
    <row r="903" spans="1:12" hidden="1" x14ac:dyDescent="0.25">
      <c r="A903" s="228" t="s">
        <v>2</v>
      </c>
      <c r="B903" s="234" t="s">
        <v>340</v>
      </c>
      <c r="C903" s="230" t="s">
        <v>349</v>
      </c>
      <c r="D903" s="230" t="s">
        <v>350</v>
      </c>
      <c r="E903" s="229" t="s">
        <v>23</v>
      </c>
      <c r="F903" s="231">
        <v>600</v>
      </c>
      <c r="G903" s="229" t="s">
        <v>1</v>
      </c>
      <c r="H903" s="405">
        <f ca="1">INDEX(PRODUTIVIDADES!$M:$M,MATCH(tbAREAS[[#This Row],[TIPO DE ÁREA]],PRODUTIVIDADES!$B:$B,0)+MATCH(tbAREAS[[#This Row],[LOCALIDADE]],PRODUTIVIDADES!$A:$A,0)-3)*tbAREAS[[#This Row],[ÁREA EM M²]]</f>
        <v>240</v>
      </c>
      <c r="L903" s="391"/>
    </row>
    <row r="904" spans="1:12" hidden="1" x14ac:dyDescent="0.25">
      <c r="A904" s="228" t="s">
        <v>2</v>
      </c>
      <c r="B904" s="234" t="s">
        <v>340</v>
      </c>
      <c r="C904" s="230" t="s">
        <v>351</v>
      </c>
      <c r="D904" s="230" t="s">
        <v>352</v>
      </c>
      <c r="E904" s="229" t="s">
        <v>9</v>
      </c>
      <c r="F904" s="231">
        <v>629.41000000000008</v>
      </c>
      <c r="G904" s="229" t="s">
        <v>1</v>
      </c>
      <c r="H904" s="405">
        <f ca="1">INDEX(PRODUTIVIDADES!$M:$M,MATCH(tbAREAS[[#This Row],[TIPO DE ÁREA]],PRODUTIVIDADES!$B:$B,0)+MATCH(tbAREAS[[#This Row],[LOCALIDADE]],PRODUTIVIDADES!$A:$A,0)-3)*tbAREAS[[#This Row],[ÁREA EM M²]]</f>
        <v>4909.3980000000001</v>
      </c>
      <c r="L904" s="391"/>
    </row>
    <row r="905" spans="1:12" hidden="1" x14ac:dyDescent="0.25">
      <c r="A905" s="228" t="s">
        <v>2</v>
      </c>
      <c r="B905" s="234" t="s">
        <v>340</v>
      </c>
      <c r="C905" s="230" t="s">
        <v>351</v>
      </c>
      <c r="D905" s="230" t="s">
        <v>352</v>
      </c>
      <c r="E905" s="229" t="s">
        <v>10</v>
      </c>
      <c r="F905" s="231">
        <v>345.83</v>
      </c>
      <c r="G905" s="229" t="s">
        <v>1</v>
      </c>
      <c r="H905" s="405">
        <f ca="1">INDEX(PRODUTIVIDADES!$M:$M,MATCH(tbAREAS[[#This Row],[TIPO DE ÁREA]],PRODUTIVIDADES!$B:$B,0)+MATCH(tbAREAS[[#This Row],[LOCALIDADE]],PRODUTIVIDADES!$A:$A,0)-3)*tbAREAS[[#This Row],[ÁREA EM M²]]</f>
        <v>1078.9895999999999</v>
      </c>
      <c r="L905" s="391"/>
    </row>
    <row r="906" spans="1:12" hidden="1" x14ac:dyDescent="0.25">
      <c r="A906" s="228" t="s">
        <v>2</v>
      </c>
      <c r="B906" s="234" t="s">
        <v>340</v>
      </c>
      <c r="C906" s="230" t="s">
        <v>351</v>
      </c>
      <c r="D906" s="230" t="s">
        <v>352</v>
      </c>
      <c r="E906" s="229" t="s">
        <v>14</v>
      </c>
      <c r="F906" s="231">
        <v>241.64</v>
      </c>
      <c r="G906" s="229" t="s">
        <v>1</v>
      </c>
      <c r="H906" s="405">
        <f ca="1">INDEX(PRODUTIVIDADES!$M:$M,MATCH(tbAREAS[[#This Row],[TIPO DE ÁREA]],PRODUTIVIDADES!$B:$B,0)+MATCH(tbAREAS[[#This Row],[LOCALIDADE]],PRODUTIVIDADES!$A:$A,0)-3)*tbAREAS[[#This Row],[ÁREA EM M²]]</f>
        <v>2053.94</v>
      </c>
      <c r="L906" s="391"/>
    </row>
    <row r="907" spans="1:12" hidden="1" x14ac:dyDescent="0.25">
      <c r="A907" s="228" t="s">
        <v>2</v>
      </c>
      <c r="B907" s="234" t="s">
        <v>340</v>
      </c>
      <c r="C907" s="230" t="s">
        <v>351</v>
      </c>
      <c r="D907" s="230" t="s">
        <v>352</v>
      </c>
      <c r="E907" s="229" t="s">
        <v>17</v>
      </c>
      <c r="F907" s="231">
        <v>588.35</v>
      </c>
      <c r="G907" s="229" t="s">
        <v>1</v>
      </c>
      <c r="H907" s="405">
        <f ca="1">INDEX(PRODUTIVIDADES!$M:$M,MATCH(tbAREAS[[#This Row],[TIPO DE ÁREA]],PRODUTIVIDADES!$B:$B,0)+MATCH(tbAREAS[[#This Row],[LOCALIDADE]],PRODUTIVIDADES!$A:$A,0)-3)*tbAREAS[[#This Row],[ÁREA EM M²]]</f>
        <v>1376.739</v>
      </c>
      <c r="L907" s="391"/>
    </row>
    <row r="908" spans="1:12" hidden="1" x14ac:dyDescent="0.25">
      <c r="A908" s="228" t="s">
        <v>2</v>
      </c>
      <c r="B908" s="234" t="s">
        <v>340</v>
      </c>
      <c r="C908" s="230" t="s">
        <v>351</v>
      </c>
      <c r="D908" s="230" t="s">
        <v>352</v>
      </c>
      <c r="E908" s="229" t="s">
        <v>18</v>
      </c>
      <c r="F908" s="231">
        <v>114.35</v>
      </c>
      <c r="G908" s="229" t="s">
        <v>1</v>
      </c>
      <c r="H908" s="405">
        <f ca="1">INDEX(PRODUTIVIDADES!$M:$M,MATCH(tbAREAS[[#This Row],[TIPO DE ÁREA]],PRODUTIVIDADES!$B:$B,0)+MATCH(tbAREAS[[#This Row],[LOCALIDADE]],PRODUTIVIDADES!$A:$A,0)-3)*tbAREAS[[#This Row],[ÁREA EM M²]]</f>
        <v>5185.7725</v>
      </c>
      <c r="L908" s="391"/>
    </row>
    <row r="909" spans="1:12" hidden="1" x14ac:dyDescent="0.25">
      <c r="A909" s="228" t="s">
        <v>2</v>
      </c>
      <c r="B909" s="234" t="s">
        <v>340</v>
      </c>
      <c r="C909" s="230" t="s">
        <v>351</v>
      </c>
      <c r="D909" s="230" t="s">
        <v>352</v>
      </c>
      <c r="E909" s="229" t="s">
        <v>20</v>
      </c>
      <c r="F909" s="231">
        <v>177.08</v>
      </c>
      <c r="G909" s="229" t="s">
        <v>1</v>
      </c>
      <c r="H909" s="405">
        <f ca="1">INDEX(PRODUTIVIDADES!$M:$M,MATCH(tbAREAS[[#This Row],[TIPO DE ÁREA]],PRODUTIVIDADES!$B:$B,0)+MATCH(tbAREAS[[#This Row],[LOCALIDADE]],PRODUTIVIDADES!$A:$A,0)-3)*tbAREAS[[#This Row],[ÁREA EM M²]]</f>
        <v>138.12240000000003</v>
      </c>
      <c r="L909" s="391"/>
    </row>
    <row r="910" spans="1:12" hidden="1" x14ac:dyDescent="0.25">
      <c r="A910" s="228" t="s">
        <v>2</v>
      </c>
      <c r="B910" s="234" t="s">
        <v>340</v>
      </c>
      <c r="C910" s="230" t="s">
        <v>351</v>
      </c>
      <c r="D910" s="230" t="s">
        <v>352</v>
      </c>
      <c r="E910" s="229" t="s">
        <v>21</v>
      </c>
      <c r="F910" s="231">
        <v>278.97000000000003</v>
      </c>
      <c r="G910" s="229" t="s">
        <v>1</v>
      </c>
      <c r="H910" s="405">
        <f ca="1">INDEX(PRODUTIVIDADES!$M:$M,MATCH(tbAREAS[[#This Row],[TIPO DE ÁREA]],PRODUTIVIDADES!$B:$B,0)+MATCH(tbAREAS[[#This Row],[LOCALIDADE]],PRODUTIVIDADES!$A:$A,0)-3)*tbAREAS[[#This Row],[ÁREA EM M²]]</f>
        <v>47.424900000000008</v>
      </c>
      <c r="L910" s="391"/>
    </row>
    <row r="911" spans="1:12" hidden="1" x14ac:dyDescent="0.25">
      <c r="A911" s="228" t="s">
        <v>2</v>
      </c>
      <c r="B911" s="234" t="s">
        <v>340</v>
      </c>
      <c r="C911" s="230" t="s">
        <v>351</v>
      </c>
      <c r="D911" s="230" t="s">
        <v>352</v>
      </c>
      <c r="E911" s="229" t="s">
        <v>22</v>
      </c>
      <c r="F911" s="231">
        <v>414.97</v>
      </c>
      <c r="G911" s="229" t="s">
        <v>1</v>
      </c>
      <c r="H911" s="405">
        <f ca="1">INDEX(PRODUTIVIDADES!$M:$M,MATCH(tbAREAS[[#This Row],[TIPO DE ÁREA]],PRODUTIVIDADES!$B:$B,0)+MATCH(tbAREAS[[#This Row],[LOCALIDADE]],PRODUTIVIDADES!$A:$A,0)-3)*tbAREAS[[#This Row],[ÁREA EM M²]]</f>
        <v>165.98800000000003</v>
      </c>
      <c r="L911" s="391"/>
    </row>
    <row r="912" spans="1:12" hidden="1" x14ac:dyDescent="0.25">
      <c r="A912" s="228" t="s">
        <v>2</v>
      </c>
      <c r="B912" s="234" t="s">
        <v>340</v>
      </c>
      <c r="C912" s="230" t="s">
        <v>351</v>
      </c>
      <c r="D912" s="230" t="s">
        <v>352</v>
      </c>
      <c r="E912" s="229" t="s">
        <v>23</v>
      </c>
      <c r="F912" s="231">
        <v>1520</v>
      </c>
      <c r="G912" s="229" t="s">
        <v>1</v>
      </c>
      <c r="H912" s="405">
        <f ca="1">INDEX(PRODUTIVIDADES!$M:$M,MATCH(tbAREAS[[#This Row],[TIPO DE ÁREA]],PRODUTIVIDADES!$B:$B,0)+MATCH(tbAREAS[[#This Row],[LOCALIDADE]],PRODUTIVIDADES!$A:$A,0)-3)*tbAREAS[[#This Row],[ÁREA EM M²]]</f>
        <v>608</v>
      </c>
      <c r="L912" s="391"/>
    </row>
    <row r="913" spans="1:12" hidden="1" x14ac:dyDescent="0.25">
      <c r="A913" s="228" t="s">
        <v>2</v>
      </c>
      <c r="B913" s="234" t="s">
        <v>340</v>
      </c>
      <c r="C913" s="230" t="s">
        <v>353</v>
      </c>
      <c r="D913" s="230" t="s">
        <v>354</v>
      </c>
      <c r="E913" s="229" t="s">
        <v>9</v>
      </c>
      <c r="F913" s="231">
        <v>557.49</v>
      </c>
      <c r="G913" s="229" t="s">
        <v>1</v>
      </c>
      <c r="H913" s="405">
        <f ca="1">INDEX(PRODUTIVIDADES!$M:$M,MATCH(tbAREAS[[#This Row],[TIPO DE ÁREA]],PRODUTIVIDADES!$B:$B,0)+MATCH(tbAREAS[[#This Row],[LOCALIDADE]],PRODUTIVIDADES!$A:$A,0)-3)*tbAREAS[[#This Row],[ÁREA EM M²]]</f>
        <v>4348.4219999999996</v>
      </c>
      <c r="L913" s="391"/>
    </row>
    <row r="914" spans="1:12" hidden="1" x14ac:dyDescent="0.25">
      <c r="A914" s="228" t="s">
        <v>2</v>
      </c>
      <c r="B914" s="234" t="s">
        <v>340</v>
      </c>
      <c r="C914" s="230" t="s">
        <v>353</v>
      </c>
      <c r="D914" s="230" t="s">
        <v>354</v>
      </c>
      <c r="E914" s="229" t="s">
        <v>10</v>
      </c>
      <c r="F914" s="231">
        <v>637.98</v>
      </c>
      <c r="G914" s="229" t="s">
        <v>1</v>
      </c>
      <c r="H914" s="405">
        <f ca="1">INDEX(PRODUTIVIDADES!$M:$M,MATCH(tbAREAS[[#This Row],[TIPO DE ÁREA]],PRODUTIVIDADES!$B:$B,0)+MATCH(tbAREAS[[#This Row],[LOCALIDADE]],PRODUTIVIDADES!$A:$A,0)-3)*tbAREAS[[#This Row],[ÁREA EM M²]]</f>
        <v>1990.4976000000001</v>
      </c>
      <c r="L914" s="391"/>
    </row>
    <row r="915" spans="1:12" hidden="1" x14ac:dyDescent="0.25">
      <c r="A915" s="228" t="s">
        <v>2</v>
      </c>
      <c r="B915" s="234" t="s">
        <v>340</v>
      </c>
      <c r="C915" s="230" t="s">
        <v>353</v>
      </c>
      <c r="D915" s="230" t="s">
        <v>354</v>
      </c>
      <c r="E915" s="229" t="s">
        <v>14</v>
      </c>
      <c r="F915" s="231">
        <v>431.68</v>
      </c>
      <c r="G915" s="229" t="s">
        <v>1</v>
      </c>
      <c r="H915" s="405">
        <f ca="1">INDEX(PRODUTIVIDADES!$M:$M,MATCH(tbAREAS[[#This Row],[TIPO DE ÁREA]],PRODUTIVIDADES!$B:$B,0)+MATCH(tbAREAS[[#This Row],[LOCALIDADE]],PRODUTIVIDADES!$A:$A,0)-3)*tbAREAS[[#This Row],[ÁREA EM M²]]</f>
        <v>3669.28</v>
      </c>
      <c r="L915" s="391"/>
    </row>
    <row r="916" spans="1:12" hidden="1" x14ac:dyDescent="0.25">
      <c r="A916" s="228" t="s">
        <v>2</v>
      </c>
      <c r="B916" s="234" t="s">
        <v>340</v>
      </c>
      <c r="C916" s="230" t="s">
        <v>353</v>
      </c>
      <c r="D916" s="230" t="s">
        <v>354</v>
      </c>
      <c r="E916" s="229" t="s">
        <v>17</v>
      </c>
      <c r="F916" s="231">
        <v>551.58000000000004</v>
      </c>
      <c r="G916" s="229" t="s">
        <v>1</v>
      </c>
      <c r="H916" s="405">
        <f ca="1">INDEX(PRODUTIVIDADES!$M:$M,MATCH(tbAREAS[[#This Row],[TIPO DE ÁREA]],PRODUTIVIDADES!$B:$B,0)+MATCH(tbAREAS[[#This Row],[LOCALIDADE]],PRODUTIVIDADES!$A:$A,0)-3)*tbAREAS[[#This Row],[ÁREA EM M²]]</f>
        <v>1290.6972000000001</v>
      </c>
      <c r="L916" s="391"/>
    </row>
    <row r="917" spans="1:12" hidden="1" x14ac:dyDescent="0.25">
      <c r="A917" s="228" t="s">
        <v>2</v>
      </c>
      <c r="B917" s="234" t="s">
        <v>340</v>
      </c>
      <c r="C917" s="230" t="s">
        <v>353</v>
      </c>
      <c r="D917" s="230" t="s">
        <v>354</v>
      </c>
      <c r="E917" s="229" t="s">
        <v>18</v>
      </c>
      <c r="F917" s="231">
        <v>99.85</v>
      </c>
      <c r="G917" s="229" t="s">
        <v>1</v>
      </c>
      <c r="H917" s="405">
        <f ca="1">INDEX(PRODUTIVIDADES!$M:$M,MATCH(tbAREAS[[#This Row],[TIPO DE ÁREA]],PRODUTIVIDADES!$B:$B,0)+MATCH(tbAREAS[[#This Row],[LOCALIDADE]],PRODUTIVIDADES!$A:$A,0)-3)*tbAREAS[[#This Row],[ÁREA EM M²]]</f>
        <v>4528.1975000000002</v>
      </c>
      <c r="L917" s="391"/>
    </row>
    <row r="918" spans="1:12" hidden="1" x14ac:dyDescent="0.25">
      <c r="A918" s="228" t="s">
        <v>2</v>
      </c>
      <c r="B918" s="234" t="s">
        <v>340</v>
      </c>
      <c r="C918" s="230" t="s">
        <v>353</v>
      </c>
      <c r="D918" s="230" t="s">
        <v>354</v>
      </c>
      <c r="E918" s="229" t="s">
        <v>20</v>
      </c>
      <c r="F918" s="231">
        <v>153.02000000000001</v>
      </c>
      <c r="G918" s="229" t="s">
        <v>1</v>
      </c>
      <c r="H918" s="405">
        <f ca="1">INDEX(PRODUTIVIDADES!$M:$M,MATCH(tbAREAS[[#This Row],[TIPO DE ÁREA]],PRODUTIVIDADES!$B:$B,0)+MATCH(tbAREAS[[#This Row],[LOCALIDADE]],PRODUTIVIDADES!$A:$A,0)-3)*tbAREAS[[#This Row],[ÁREA EM M²]]</f>
        <v>119.35560000000001</v>
      </c>
      <c r="L918" s="391"/>
    </row>
    <row r="919" spans="1:12" hidden="1" x14ac:dyDescent="0.25">
      <c r="A919" s="228" t="s">
        <v>2</v>
      </c>
      <c r="B919" s="234" t="s">
        <v>340</v>
      </c>
      <c r="C919" s="230" t="s">
        <v>353</v>
      </c>
      <c r="D919" s="230" t="s">
        <v>354</v>
      </c>
      <c r="E919" s="229" t="s">
        <v>21</v>
      </c>
      <c r="F919" s="231">
        <v>254.74</v>
      </c>
      <c r="G919" s="229" t="s">
        <v>1</v>
      </c>
      <c r="H919" s="405">
        <f ca="1">INDEX(PRODUTIVIDADES!$M:$M,MATCH(tbAREAS[[#This Row],[TIPO DE ÁREA]],PRODUTIVIDADES!$B:$B,0)+MATCH(tbAREAS[[#This Row],[LOCALIDADE]],PRODUTIVIDADES!$A:$A,0)-3)*tbAREAS[[#This Row],[ÁREA EM M²]]</f>
        <v>43.305800000000005</v>
      </c>
      <c r="L919" s="391"/>
    </row>
    <row r="920" spans="1:12" hidden="1" x14ac:dyDescent="0.25">
      <c r="A920" s="228" t="s">
        <v>2</v>
      </c>
      <c r="B920" s="234" t="s">
        <v>340</v>
      </c>
      <c r="C920" s="230" t="s">
        <v>353</v>
      </c>
      <c r="D920" s="230" t="s">
        <v>354</v>
      </c>
      <c r="E920" s="229" t="s">
        <v>22</v>
      </c>
      <c r="F920" s="231">
        <v>250.27</v>
      </c>
      <c r="G920" s="229" t="s">
        <v>1</v>
      </c>
      <c r="H920" s="405">
        <f ca="1">INDEX(PRODUTIVIDADES!$M:$M,MATCH(tbAREAS[[#This Row],[TIPO DE ÁREA]],PRODUTIVIDADES!$B:$B,0)+MATCH(tbAREAS[[#This Row],[LOCALIDADE]],PRODUTIVIDADES!$A:$A,0)-3)*tbAREAS[[#This Row],[ÁREA EM M²]]</f>
        <v>100.108</v>
      </c>
      <c r="L920" s="391"/>
    </row>
    <row r="921" spans="1:12" hidden="1" x14ac:dyDescent="0.25">
      <c r="A921" s="228" t="s">
        <v>2</v>
      </c>
      <c r="B921" s="234" t="s">
        <v>340</v>
      </c>
      <c r="C921" s="230" t="s">
        <v>353</v>
      </c>
      <c r="D921" s="230" t="s">
        <v>354</v>
      </c>
      <c r="E921" s="229" t="s">
        <v>23</v>
      </c>
      <c r="F921" s="231">
        <v>1520</v>
      </c>
      <c r="G921" s="229" t="s">
        <v>1</v>
      </c>
      <c r="H921" s="405">
        <f ca="1">INDEX(PRODUTIVIDADES!$M:$M,MATCH(tbAREAS[[#This Row],[TIPO DE ÁREA]],PRODUTIVIDADES!$B:$B,0)+MATCH(tbAREAS[[#This Row],[LOCALIDADE]],PRODUTIVIDADES!$A:$A,0)-3)*tbAREAS[[#This Row],[ÁREA EM M²]]</f>
        <v>608</v>
      </c>
      <c r="L921" s="391"/>
    </row>
    <row r="922" spans="1:12" hidden="1" x14ac:dyDescent="0.25">
      <c r="A922" s="228" t="s">
        <v>2</v>
      </c>
      <c r="B922" s="234" t="s">
        <v>340</v>
      </c>
      <c r="C922" s="230" t="s">
        <v>355</v>
      </c>
      <c r="D922" s="230" t="s">
        <v>356</v>
      </c>
      <c r="E922" s="229" t="s">
        <v>10</v>
      </c>
      <c r="F922" s="231">
        <v>20</v>
      </c>
      <c r="G922" s="229" t="s">
        <v>1</v>
      </c>
      <c r="H922" s="405">
        <f ca="1">INDEX(PRODUTIVIDADES!$M:$M,MATCH(tbAREAS[[#This Row],[TIPO DE ÁREA]],PRODUTIVIDADES!$B:$B,0)+MATCH(tbAREAS[[#This Row],[LOCALIDADE]],PRODUTIVIDADES!$A:$A,0)-3)*tbAREAS[[#This Row],[ÁREA EM M²]]</f>
        <v>62.400000000000006</v>
      </c>
      <c r="L922" s="391"/>
    </row>
    <row r="923" spans="1:12" hidden="1" x14ac:dyDescent="0.25">
      <c r="A923" s="228" t="s">
        <v>2</v>
      </c>
      <c r="B923" s="234" t="s">
        <v>340</v>
      </c>
      <c r="C923" s="230" t="s">
        <v>355</v>
      </c>
      <c r="D923" s="230" t="s">
        <v>356</v>
      </c>
      <c r="E923" s="229" t="s">
        <v>11</v>
      </c>
      <c r="F923" s="231">
        <v>340</v>
      </c>
      <c r="G923" s="229" t="s">
        <v>1</v>
      </c>
      <c r="H923" s="405">
        <f ca="1">INDEX(PRODUTIVIDADES!$M:$M,MATCH(tbAREAS[[#This Row],[TIPO DE ÁREA]],PRODUTIVIDADES!$B:$B,0)+MATCH(tbAREAS[[#This Row],[LOCALIDADE]],PRODUTIVIDADES!$A:$A,0)-3)*tbAREAS[[#This Row],[ÁREA EM M²]]</f>
        <v>1060.8</v>
      </c>
      <c r="L923" s="391"/>
    </row>
    <row r="924" spans="1:12" hidden="1" x14ac:dyDescent="0.25">
      <c r="A924" s="228" t="s">
        <v>2</v>
      </c>
      <c r="B924" s="234" t="s">
        <v>340</v>
      </c>
      <c r="C924" s="230" t="s">
        <v>355</v>
      </c>
      <c r="D924" s="230" t="s">
        <v>356</v>
      </c>
      <c r="E924" s="229" t="s">
        <v>17</v>
      </c>
      <c r="F924" s="231">
        <v>160</v>
      </c>
      <c r="G924" s="229" t="s">
        <v>1</v>
      </c>
      <c r="H924" s="405">
        <f ca="1">INDEX(PRODUTIVIDADES!$M:$M,MATCH(tbAREAS[[#This Row],[TIPO DE ÁREA]],PRODUTIVIDADES!$B:$B,0)+MATCH(tbAREAS[[#This Row],[LOCALIDADE]],PRODUTIVIDADES!$A:$A,0)-3)*tbAREAS[[#This Row],[ÁREA EM M²]]</f>
        <v>374.4</v>
      </c>
      <c r="L924" s="391"/>
    </row>
    <row r="925" spans="1:12" hidden="1" x14ac:dyDescent="0.25">
      <c r="A925" s="228" t="s">
        <v>2</v>
      </c>
      <c r="B925" s="234" t="s">
        <v>340</v>
      </c>
      <c r="C925" s="230" t="s">
        <v>355</v>
      </c>
      <c r="D925" s="230" t="s">
        <v>356</v>
      </c>
      <c r="E925" s="229" t="s">
        <v>18</v>
      </c>
      <c r="F925" s="231">
        <v>40</v>
      </c>
      <c r="G925" s="229" t="s">
        <v>1</v>
      </c>
      <c r="H925" s="405">
        <f ca="1">INDEX(PRODUTIVIDADES!$M:$M,MATCH(tbAREAS[[#This Row],[TIPO DE ÁREA]],PRODUTIVIDADES!$B:$B,0)+MATCH(tbAREAS[[#This Row],[LOCALIDADE]],PRODUTIVIDADES!$A:$A,0)-3)*tbAREAS[[#This Row],[ÁREA EM M²]]</f>
        <v>1814</v>
      </c>
      <c r="L925" s="391"/>
    </row>
    <row r="926" spans="1:12" hidden="1" x14ac:dyDescent="0.25">
      <c r="A926" s="228" t="s">
        <v>2</v>
      </c>
      <c r="B926" s="234" t="s">
        <v>340</v>
      </c>
      <c r="C926" s="230" t="s">
        <v>355</v>
      </c>
      <c r="D926" s="230" t="s">
        <v>356</v>
      </c>
      <c r="E926" s="229" t="s">
        <v>20</v>
      </c>
      <c r="F926" s="231">
        <v>130</v>
      </c>
      <c r="G926" s="229" t="s">
        <v>1</v>
      </c>
      <c r="H926" s="405">
        <f ca="1">INDEX(PRODUTIVIDADES!$M:$M,MATCH(tbAREAS[[#This Row],[TIPO DE ÁREA]],PRODUTIVIDADES!$B:$B,0)+MATCH(tbAREAS[[#This Row],[LOCALIDADE]],PRODUTIVIDADES!$A:$A,0)-3)*tbAREAS[[#This Row],[ÁREA EM M²]]</f>
        <v>101.4</v>
      </c>
      <c r="L926" s="391"/>
    </row>
    <row r="927" spans="1:12" hidden="1" x14ac:dyDescent="0.25">
      <c r="A927" s="228" t="s">
        <v>2</v>
      </c>
      <c r="B927" s="234" t="s">
        <v>340</v>
      </c>
      <c r="C927" s="230" t="s">
        <v>355</v>
      </c>
      <c r="D927" s="230" t="s">
        <v>356</v>
      </c>
      <c r="E927" s="229" t="s">
        <v>21</v>
      </c>
      <c r="F927" s="231">
        <v>100</v>
      </c>
      <c r="G927" s="229" t="s">
        <v>1</v>
      </c>
      <c r="H927" s="405">
        <f ca="1">INDEX(PRODUTIVIDADES!$M:$M,MATCH(tbAREAS[[#This Row],[TIPO DE ÁREA]],PRODUTIVIDADES!$B:$B,0)+MATCH(tbAREAS[[#This Row],[LOCALIDADE]],PRODUTIVIDADES!$A:$A,0)-3)*tbAREAS[[#This Row],[ÁREA EM M²]]</f>
        <v>17</v>
      </c>
      <c r="L927" s="391"/>
    </row>
    <row r="928" spans="1:12" hidden="1" x14ac:dyDescent="0.25">
      <c r="A928" s="228" t="s">
        <v>2</v>
      </c>
      <c r="B928" s="234" t="s">
        <v>340</v>
      </c>
      <c r="C928" s="230" t="s">
        <v>355</v>
      </c>
      <c r="D928" s="230" t="s">
        <v>356</v>
      </c>
      <c r="E928" s="229" t="s">
        <v>22</v>
      </c>
      <c r="F928" s="231">
        <v>100</v>
      </c>
      <c r="G928" s="229" t="s">
        <v>1</v>
      </c>
      <c r="H928" s="405">
        <f ca="1">INDEX(PRODUTIVIDADES!$M:$M,MATCH(tbAREAS[[#This Row],[TIPO DE ÁREA]],PRODUTIVIDADES!$B:$B,0)+MATCH(tbAREAS[[#This Row],[LOCALIDADE]],PRODUTIVIDADES!$A:$A,0)-3)*tbAREAS[[#This Row],[ÁREA EM M²]]</f>
        <v>40</v>
      </c>
      <c r="L928" s="391"/>
    </row>
    <row r="929" spans="1:12" hidden="1" x14ac:dyDescent="0.25">
      <c r="A929" s="228" t="s">
        <v>2</v>
      </c>
      <c r="B929" s="234" t="s">
        <v>340</v>
      </c>
      <c r="C929" s="230" t="s">
        <v>355</v>
      </c>
      <c r="D929" s="230" t="s">
        <v>356</v>
      </c>
      <c r="E929" s="229" t="s">
        <v>23</v>
      </c>
      <c r="F929" s="231">
        <v>400</v>
      </c>
      <c r="G929" s="229" t="s">
        <v>1</v>
      </c>
      <c r="H929" s="405">
        <f ca="1">INDEX(PRODUTIVIDADES!$M:$M,MATCH(tbAREAS[[#This Row],[TIPO DE ÁREA]],PRODUTIVIDADES!$B:$B,0)+MATCH(tbAREAS[[#This Row],[LOCALIDADE]],PRODUTIVIDADES!$A:$A,0)-3)*tbAREAS[[#This Row],[ÁREA EM M²]]</f>
        <v>160</v>
      </c>
      <c r="L929" s="391"/>
    </row>
    <row r="930" spans="1:12" hidden="1" x14ac:dyDescent="0.25">
      <c r="A930" s="228" t="s">
        <v>2</v>
      </c>
      <c r="B930" s="234" t="s">
        <v>340</v>
      </c>
      <c r="C930" s="230" t="s">
        <v>357</v>
      </c>
      <c r="D930" s="230" t="s">
        <v>358</v>
      </c>
      <c r="E930" s="229" t="s">
        <v>9</v>
      </c>
      <c r="F930" s="231">
        <v>14.88</v>
      </c>
      <c r="G930" s="229" t="s">
        <v>1</v>
      </c>
      <c r="H930" s="405">
        <f ca="1">INDEX(PRODUTIVIDADES!$M:$M,MATCH(tbAREAS[[#This Row],[TIPO DE ÁREA]],PRODUTIVIDADES!$B:$B,0)+MATCH(tbAREAS[[#This Row],[LOCALIDADE]],PRODUTIVIDADES!$A:$A,0)-3)*tbAREAS[[#This Row],[ÁREA EM M²]]</f>
        <v>116.06400000000001</v>
      </c>
      <c r="L930" s="391"/>
    </row>
    <row r="931" spans="1:12" hidden="1" x14ac:dyDescent="0.25">
      <c r="A931" s="228" t="s">
        <v>2</v>
      </c>
      <c r="B931" s="234" t="s">
        <v>340</v>
      </c>
      <c r="C931" s="230" t="s">
        <v>357</v>
      </c>
      <c r="D931" s="230" t="s">
        <v>358</v>
      </c>
      <c r="E931" s="229" t="s">
        <v>14</v>
      </c>
      <c r="F931" s="231">
        <v>85.65</v>
      </c>
      <c r="G931" s="229" t="s">
        <v>1</v>
      </c>
      <c r="H931" s="405">
        <f ca="1">INDEX(PRODUTIVIDADES!$M:$M,MATCH(tbAREAS[[#This Row],[TIPO DE ÁREA]],PRODUTIVIDADES!$B:$B,0)+MATCH(tbAREAS[[#This Row],[LOCALIDADE]],PRODUTIVIDADES!$A:$A,0)-3)*tbAREAS[[#This Row],[ÁREA EM M²]]</f>
        <v>728.02500000000009</v>
      </c>
      <c r="L931" s="391"/>
    </row>
    <row r="932" spans="1:12" hidden="1" x14ac:dyDescent="0.25">
      <c r="A932" s="228" t="s">
        <v>2</v>
      </c>
      <c r="B932" s="234" t="s">
        <v>340</v>
      </c>
      <c r="C932" s="230" t="s">
        <v>357</v>
      </c>
      <c r="D932" s="230" t="s">
        <v>358</v>
      </c>
      <c r="E932" s="229" t="s">
        <v>18</v>
      </c>
      <c r="F932" s="231">
        <v>25.32</v>
      </c>
      <c r="G932" s="229" t="s">
        <v>1</v>
      </c>
      <c r="H932" s="405">
        <f ca="1">INDEX(PRODUTIVIDADES!$M:$M,MATCH(tbAREAS[[#This Row],[TIPO DE ÁREA]],PRODUTIVIDADES!$B:$B,0)+MATCH(tbAREAS[[#This Row],[LOCALIDADE]],PRODUTIVIDADES!$A:$A,0)-3)*tbAREAS[[#This Row],[ÁREA EM M²]]</f>
        <v>1148.2619999999999</v>
      </c>
      <c r="L932" s="391"/>
    </row>
    <row r="933" spans="1:12" hidden="1" x14ac:dyDescent="0.25">
      <c r="A933" s="228" t="s">
        <v>2</v>
      </c>
      <c r="B933" s="234" t="s">
        <v>340</v>
      </c>
      <c r="C933" s="230" t="s">
        <v>357</v>
      </c>
      <c r="D933" s="230" t="s">
        <v>358</v>
      </c>
      <c r="E933" s="229" t="s">
        <v>21</v>
      </c>
      <c r="F933" s="231">
        <v>140</v>
      </c>
      <c r="G933" s="229" t="s">
        <v>1</v>
      </c>
      <c r="H933" s="405">
        <f ca="1">INDEX(PRODUTIVIDADES!$M:$M,MATCH(tbAREAS[[#This Row],[TIPO DE ÁREA]],PRODUTIVIDADES!$B:$B,0)+MATCH(tbAREAS[[#This Row],[LOCALIDADE]],PRODUTIVIDADES!$A:$A,0)-3)*tbAREAS[[#This Row],[ÁREA EM M²]]</f>
        <v>23.8</v>
      </c>
      <c r="L933" s="391"/>
    </row>
    <row r="934" spans="1:12" hidden="1" x14ac:dyDescent="0.25">
      <c r="A934" s="228" t="s">
        <v>2</v>
      </c>
      <c r="B934" s="234" t="s">
        <v>340</v>
      </c>
      <c r="C934" s="230" t="s">
        <v>357</v>
      </c>
      <c r="D934" s="230" t="s">
        <v>358</v>
      </c>
      <c r="E934" s="229" t="s">
        <v>22</v>
      </c>
      <c r="F934" s="231">
        <v>72.58</v>
      </c>
      <c r="G934" s="229" t="s">
        <v>1</v>
      </c>
      <c r="H934" s="405">
        <f ca="1">INDEX(PRODUTIVIDADES!$M:$M,MATCH(tbAREAS[[#This Row],[TIPO DE ÁREA]],PRODUTIVIDADES!$B:$B,0)+MATCH(tbAREAS[[#This Row],[LOCALIDADE]],PRODUTIVIDADES!$A:$A,0)-3)*tbAREAS[[#This Row],[ÁREA EM M²]]</f>
        <v>29.032</v>
      </c>
      <c r="L934" s="391"/>
    </row>
    <row r="935" spans="1:12" hidden="1" x14ac:dyDescent="0.25">
      <c r="A935" s="228" t="s">
        <v>2</v>
      </c>
      <c r="B935" s="234" t="s">
        <v>340</v>
      </c>
      <c r="C935" s="230" t="s">
        <v>359</v>
      </c>
      <c r="D935" s="230" t="s">
        <v>360</v>
      </c>
      <c r="E935" s="229" t="s">
        <v>10</v>
      </c>
      <c r="F935" s="231">
        <v>24.78</v>
      </c>
      <c r="G935" s="229" t="s">
        <v>1</v>
      </c>
      <c r="H935" s="405">
        <f ca="1">INDEX(PRODUTIVIDADES!$M:$M,MATCH(tbAREAS[[#This Row],[TIPO DE ÁREA]],PRODUTIVIDADES!$B:$B,0)+MATCH(tbAREAS[[#This Row],[LOCALIDADE]],PRODUTIVIDADES!$A:$A,0)-3)*tbAREAS[[#This Row],[ÁREA EM M²]]</f>
        <v>77.313600000000008</v>
      </c>
      <c r="L935" s="391"/>
    </row>
    <row r="936" spans="1:12" hidden="1" x14ac:dyDescent="0.25">
      <c r="A936" s="228" t="s">
        <v>2</v>
      </c>
      <c r="B936" s="234" t="s">
        <v>340</v>
      </c>
      <c r="C936" s="230" t="s">
        <v>359</v>
      </c>
      <c r="D936" s="230" t="s">
        <v>360</v>
      </c>
      <c r="E936" s="229" t="s">
        <v>14</v>
      </c>
      <c r="F936" s="231">
        <v>185.51</v>
      </c>
      <c r="G936" s="229" t="s">
        <v>1</v>
      </c>
      <c r="H936" s="405">
        <f ca="1">INDEX(PRODUTIVIDADES!$M:$M,MATCH(tbAREAS[[#This Row],[TIPO DE ÁREA]],PRODUTIVIDADES!$B:$B,0)+MATCH(tbAREAS[[#This Row],[LOCALIDADE]],PRODUTIVIDADES!$A:$A,0)-3)*tbAREAS[[#This Row],[ÁREA EM M²]]</f>
        <v>1576.835</v>
      </c>
      <c r="L936" s="391"/>
    </row>
    <row r="937" spans="1:12" hidden="1" x14ac:dyDescent="0.25">
      <c r="A937" s="228" t="s">
        <v>2</v>
      </c>
      <c r="B937" s="234" t="s">
        <v>340</v>
      </c>
      <c r="C937" s="230" t="s">
        <v>359</v>
      </c>
      <c r="D937" s="230" t="s">
        <v>360</v>
      </c>
      <c r="E937" s="229" t="s">
        <v>15</v>
      </c>
      <c r="F937" s="231">
        <v>8.84</v>
      </c>
      <c r="G937" s="229" t="s">
        <v>1</v>
      </c>
      <c r="H937" s="405">
        <f ca="1">INDEX(PRODUTIVIDADES!$M:$M,MATCH(tbAREAS[[#This Row],[TIPO DE ÁREA]],PRODUTIVIDADES!$B:$B,0)+MATCH(tbAREAS[[#This Row],[LOCALIDADE]],PRODUTIVIDADES!$A:$A,0)-3)*tbAREAS[[#This Row],[ÁREA EM M²]]</f>
        <v>6.0995999999999997</v>
      </c>
      <c r="L937" s="391"/>
    </row>
    <row r="938" spans="1:12" hidden="1" x14ac:dyDescent="0.25">
      <c r="A938" s="228" t="s">
        <v>2</v>
      </c>
      <c r="B938" s="234" t="s">
        <v>340</v>
      </c>
      <c r="C938" s="230" t="s">
        <v>359</v>
      </c>
      <c r="D938" s="230" t="s">
        <v>360</v>
      </c>
      <c r="E938" s="229" t="s">
        <v>21</v>
      </c>
      <c r="F938" s="231">
        <v>22.76</v>
      </c>
      <c r="G938" s="229" t="s">
        <v>1</v>
      </c>
      <c r="H938" s="405">
        <f ca="1">INDEX(PRODUTIVIDADES!$M:$M,MATCH(tbAREAS[[#This Row],[TIPO DE ÁREA]],PRODUTIVIDADES!$B:$B,0)+MATCH(tbAREAS[[#This Row],[LOCALIDADE]],PRODUTIVIDADES!$A:$A,0)-3)*tbAREAS[[#This Row],[ÁREA EM M²]]</f>
        <v>3.8692000000000006</v>
      </c>
      <c r="L938" s="391"/>
    </row>
    <row r="939" spans="1:12" hidden="1" x14ac:dyDescent="0.25">
      <c r="A939" s="228" t="s">
        <v>2</v>
      </c>
      <c r="B939" s="234" t="s">
        <v>340</v>
      </c>
      <c r="C939" s="230" t="s">
        <v>359</v>
      </c>
      <c r="D939" s="230" t="s">
        <v>360</v>
      </c>
      <c r="E939" s="229" t="s">
        <v>22</v>
      </c>
      <c r="F939" s="231">
        <v>22.76</v>
      </c>
      <c r="G939" s="229" t="s">
        <v>1</v>
      </c>
      <c r="H939" s="405">
        <f ca="1">INDEX(PRODUTIVIDADES!$M:$M,MATCH(tbAREAS[[#This Row],[TIPO DE ÁREA]],PRODUTIVIDADES!$B:$B,0)+MATCH(tbAREAS[[#This Row],[LOCALIDADE]],PRODUTIVIDADES!$A:$A,0)-3)*tbAREAS[[#This Row],[ÁREA EM M²]]</f>
        <v>9.104000000000001</v>
      </c>
      <c r="L939" s="391"/>
    </row>
    <row r="940" spans="1:12" hidden="1" x14ac:dyDescent="0.25">
      <c r="A940" s="228" t="s">
        <v>2</v>
      </c>
      <c r="B940" s="234" t="s">
        <v>340</v>
      </c>
      <c r="C940" s="230" t="s">
        <v>361</v>
      </c>
      <c r="D940" s="230" t="s">
        <v>362</v>
      </c>
      <c r="E940" s="229" t="s">
        <v>14</v>
      </c>
      <c r="F940" s="231">
        <v>101.68</v>
      </c>
      <c r="G940" s="229" t="s">
        <v>1</v>
      </c>
      <c r="H940" s="405">
        <f ca="1">INDEX(PRODUTIVIDADES!$M:$M,MATCH(tbAREAS[[#This Row],[TIPO DE ÁREA]],PRODUTIVIDADES!$B:$B,0)+MATCH(tbAREAS[[#This Row],[LOCALIDADE]],PRODUTIVIDADES!$A:$A,0)-3)*tbAREAS[[#This Row],[ÁREA EM M²]]</f>
        <v>864.28000000000009</v>
      </c>
      <c r="L940" s="391"/>
    </row>
    <row r="941" spans="1:12" hidden="1" x14ac:dyDescent="0.25">
      <c r="A941" s="228" t="s">
        <v>2</v>
      </c>
      <c r="B941" s="234" t="s">
        <v>340</v>
      </c>
      <c r="C941" s="230" t="s">
        <v>361</v>
      </c>
      <c r="D941" s="230" t="s">
        <v>362</v>
      </c>
      <c r="E941" s="229" t="s">
        <v>21</v>
      </c>
      <c r="F941" s="231">
        <v>55.88</v>
      </c>
      <c r="G941" s="229" t="s">
        <v>1</v>
      </c>
      <c r="H941" s="405">
        <f ca="1">INDEX(PRODUTIVIDADES!$M:$M,MATCH(tbAREAS[[#This Row],[TIPO DE ÁREA]],PRODUTIVIDADES!$B:$B,0)+MATCH(tbAREAS[[#This Row],[LOCALIDADE]],PRODUTIVIDADES!$A:$A,0)-3)*tbAREAS[[#This Row],[ÁREA EM M²]]</f>
        <v>9.4996000000000009</v>
      </c>
      <c r="L941" s="391"/>
    </row>
    <row r="942" spans="1:12" hidden="1" x14ac:dyDescent="0.25">
      <c r="A942" s="228" t="s">
        <v>2</v>
      </c>
      <c r="B942" s="234" t="s">
        <v>340</v>
      </c>
      <c r="C942" s="230" t="s">
        <v>361</v>
      </c>
      <c r="D942" s="230" t="s">
        <v>362</v>
      </c>
      <c r="E942" s="229" t="s">
        <v>22</v>
      </c>
      <c r="F942" s="231">
        <v>55.88</v>
      </c>
      <c r="G942" s="229" t="s">
        <v>1</v>
      </c>
      <c r="H942" s="405">
        <f ca="1">INDEX(PRODUTIVIDADES!$M:$M,MATCH(tbAREAS[[#This Row],[TIPO DE ÁREA]],PRODUTIVIDADES!$B:$B,0)+MATCH(tbAREAS[[#This Row],[LOCALIDADE]],PRODUTIVIDADES!$A:$A,0)-3)*tbAREAS[[#This Row],[ÁREA EM M²]]</f>
        <v>22.352000000000004</v>
      </c>
      <c r="L942" s="391"/>
    </row>
    <row r="943" spans="1:12" hidden="1" x14ac:dyDescent="0.25">
      <c r="A943" s="228" t="s">
        <v>2</v>
      </c>
      <c r="B943" s="234" t="s">
        <v>340</v>
      </c>
      <c r="C943" s="230" t="s">
        <v>363</v>
      </c>
      <c r="D943" s="230" t="s">
        <v>364</v>
      </c>
      <c r="E943" s="229" t="s">
        <v>9</v>
      </c>
      <c r="F943" s="231">
        <v>80</v>
      </c>
      <c r="G943" s="229" t="s">
        <v>1</v>
      </c>
      <c r="H943" s="405">
        <f ca="1">INDEX(PRODUTIVIDADES!$M:$M,MATCH(tbAREAS[[#This Row],[TIPO DE ÁREA]],PRODUTIVIDADES!$B:$B,0)+MATCH(tbAREAS[[#This Row],[LOCALIDADE]],PRODUTIVIDADES!$A:$A,0)-3)*tbAREAS[[#This Row],[ÁREA EM M²]]</f>
        <v>624</v>
      </c>
      <c r="L943" s="391"/>
    </row>
    <row r="944" spans="1:12" hidden="1" x14ac:dyDescent="0.25">
      <c r="A944" s="228" t="s">
        <v>2</v>
      </c>
      <c r="B944" s="234" t="s">
        <v>340</v>
      </c>
      <c r="C944" s="230" t="s">
        <v>363</v>
      </c>
      <c r="D944" s="230" t="s">
        <v>364</v>
      </c>
      <c r="E944" s="229" t="s">
        <v>10</v>
      </c>
      <c r="F944" s="231">
        <v>35</v>
      </c>
      <c r="G944" s="229" t="s">
        <v>1</v>
      </c>
      <c r="H944" s="405">
        <f ca="1">INDEX(PRODUTIVIDADES!$M:$M,MATCH(tbAREAS[[#This Row],[TIPO DE ÁREA]],PRODUTIVIDADES!$B:$B,0)+MATCH(tbAREAS[[#This Row],[LOCALIDADE]],PRODUTIVIDADES!$A:$A,0)-3)*tbAREAS[[#This Row],[ÁREA EM M²]]</f>
        <v>109.2</v>
      </c>
      <c r="L944" s="391"/>
    </row>
    <row r="945" spans="1:12" hidden="1" x14ac:dyDescent="0.25">
      <c r="A945" s="228" t="s">
        <v>2</v>
      </c>
      <c r="B945" s="234" t="s">
        <v>340</v>
      </c>
      <c r="C945" s="230" t="s">
        <v>363</v>
      </c>
      <c r="D945" s="230" t="s">
        <v>364</v>
      </c>
      <c r="E945" s="229" t="s">
        <v>16</v>
      </c>
      <c r="F945" s="231">
        <v>800</v>
      </c>
      <c r="G945" s="229" t="s">
        <v>1</v>
      </c>
      <c r="H945" s="405">
        <f ca="1">INDEX(PRODUTIVIDADES!$M:$M,MATCH(tbAREAS[[#This Row],[TIPO DE ÁREA]],PRODUTIVIDADES!$B:$B,0)+MATCH(tbAREAS[[#This Row],[LOCALIDADE]],PRODUTIVIDADES!$A:$A,0)-3)*tbAREAS[[#This Row],[ÁREA EM M²]]</f>
        <v>624</v>
      </c>
      <c r="L945" s="391"/>
    </row>
    <row r="946" spans="1:12" hidden="1" x14ac:dyDescent="0.25">
      <c r="A946" s="228" t="s">
        <v>2</v>
      </c>
      <c r="B946" s="234" t="s">
        <v>340</v>
      </c>
      <c r="C946" s="230" t="s">
        <v>363</v>
      </c>
      <c r="D946" s="230" t="s">
        <v>364</v>
      </c>
      <c r="E946" s="229" t="s">
        <v>18</v>
      </c>
      <c r="F946" s="231">
        <v>8.89</v>
      </c>
      <c r="G946" s="229" t="s">
        <v>1</v>
      </c>
      <c r="H946" s="405">
        <f ca="1">INDEX(PRODUTIVIDADES!$M:$M,MATCH(tbAREAS[[#This Row],[TIPO DE ÁREA]],PRODUTIVIDADES!$B:$B,0)+MATCH(tbAREAS[[#This Row],[LOCALIDADE]],PRODUTIVIDADES!$A:$A,0)-3)*tbAREAS[[#This Row],[ÁREA EM M²]]</f>
        <v>403.16150000000005</v>
      </c>
      <c r="L946" s="391"/>
    </row>
    <row r="947" spans="1:12" hidden="1" x14ac:dyDescent="0.25">
      <c r="A947" s="228" t="s">
        <v>2</v>
      </c>
      <c r="B947" s="234" t="s">
        <v>340</v>
      </c>
      <c r="C947" s="230" t="s">
        <v>363</v>
      </c>
      <c r="D947" s="230" t="s">
        <v>364</v>
      </c>
      <c r="E947" s="229" t="s">
        <v>21</v>
      </c>
      <c r="F947" s="231">
        <v>72.42</v>
      </c>
      <c r="G947" s="229" t="s">
        <v>1</v>
      </c>
      <c r="H947" s="405">
        <f ca="1">INDEX(PRODUTIVIDADES!$M:$M,MATCH(tbAREAS[[#This Row],[TIPO DE ÁREA]],PRODUTIVIDADES!$B:$B,0)+MATCH(tbAREAS[[#This Row],[LOCALIDADE]],PRODUTIVIDADES!$A:$A,0)-3)*tbAREAS[[#This Row],[ÁREA EM M²]]</f>
        <v>12.311400000000001</v>
      </c>
      <c r="L947" s="391"/>
    </row>
    <row r="948" spans="1:12" hidden="1" x14ac:dyDescent="0.25">
      <c r="A948" s="228" t="s">
        <v>2</v>
      </c>
      <c r="B948" s="234" t="s">
        <v>340</v>
      </c>
      <c r="C948" s="230" t="s">
        <v>363</v>
      </c>
      <c r="D948" s="230" t="s">
        <v>364</v>
      </c>
      <c r="E948" s="229" t="s">
        <v>22</v>
      </c>
      <c r="F948" s="231">
        <v>72.42</v>
      </c>
      <c r="G948" s="229" t="s">
        <v>1</v>
      </c>
      <c r="H948" s="405">
        <f ca="1">INDEX(PRODUTIVIDADES!$M:$M,MATCH(tbAREAS[[#This Row],[TIPO DE ÁREA]],PRODUTIVIDADES!$B:$B,0)+MATCH(tbAREAS[[#This Row],[LOCALIDADE]],PRODUTIVIDADES!$A:$A,0)-3)*tbAREAS[[#This Row],[ÁREA EM M²]]</f>
        <v>28.968000000000004</v>
      </c>
      <c r="L948" s="391"/>
    </row>
    <row r="949" spans="1:12" hidden="1" x14ac:dyDescent="0.25">
      <c r="A949" s="228" t="s">
        <v>2</v>
      </c>
      <c r="B949" s="234" t="s">
        <v>340</v>
      </c>
      <c r="C949" s="230" t="s">
        <v>365</v>
      </c>
      <c r="D949" s="230" t="s">
        <v>366</v>
      </c>
      <c r="E949" s="229" t="s">
        <v>14</v>
      </c>
      <c r="F949" s="231">
        <v>81.61</v>
      </c>
      <c r="G949" s="229" t="s">
        <v>1</v>
      </c>
      <c r="H949" s="405">
        <f ca="1">INDEX(PRODUTIVIDADES!$M:$M,MATCH(tbAREAS[[#This Row],[TIPO DE ÁREA]],PRODUTIVIDADES!$B:$B,0)+MATCH(tbAREAS[[#This Row],[LOCALIDADE]],PRODUTIVIDADES!$A:$A,0)-3)*tbAREAS[[#This Row],[ÁREA EM M²]]</f>
        <v>693.68499999999995</v>
      </c>
      <c r="L949" s="391"/>
    </row>
    <row r="950" spans="1:12" hidden="1" x14ac:dyDescent="0.25">
      <c r="A950" s="228" t="s">
        <v>2</v>
      </c>
      <c r="B950" s="234" t="s">
        <v>340</v>
      </c>
      <c r="C950" s="230" t="s">
        <v>365</v>
      </c>
      <c r="D950" s="230" t="s">
        <v>366</v>
      </c>
      <c r="E950" s="229" t="s">
        <v>16</v>
      </c>
      <c r="F950" s="231">
        <v>29.12</v>
      </c>
      <c r="G950" s="229" t="s">
        <v>1</v>
      </c>
      <c r="H950" s="405">
        <f ca="1">INDEX(PRODUTIVIDADES!$M:$M,MATCH(tbAREAS[[#This Row],[TIPO DE ÁREA]],PRODUTIVIDADES!$B:$B,0)+MATCH(tbAREAS[[#This Row],[LOCALIDADE]],PRODUTIVIDADES!$A:$A,0)-3)*tbAREAS[[#This Row],[ÁREA EM M²]]</f>
        <v>22.713600000000003</v>
      </c>
      <c r="L950" s="391"/>
    </row>
    <row r="951" spans="1:12" hidden="1" x14ac:dyDescent="0.25">
      <c r="A951" s="228" t="s">
        <v>2</v>
      </c>
      <c r="B951" s="234" t="s">
        <v>340</v>
      </c>
      <c r="C951" s="230" t="s">
        <v>365</v>
      </c>
      <c r="D951" s="230" t="s">
        <v>366</v>
      </c>
      <c r="E951" s="229" t="s">
        <v>21</v>
      </c>
      <c r="F951" s="231">
        <v>11.51</v>
      </c>
      <c r="G951" s="229" t="s">
        <v>1</v>
      </c>
      <c r="H951" s="405">
        <f ca="1">INDEX(PRODUTIVIDADES!$M:$M,MATCH(tbAREAS[[#This Row],[TIPO DE ÁREA]],PRODUTIVIDADES!$B:$B,0)+MATCH(tbAREAS[[#This Row],[LOCALIDADE]],PRODUTIVIDADES!$A:$A,0)-3)*tbAREAS[[#This Row],[ÁREA EM M²]]</f>
        <v>1.9567000000000001</v>
      </c>
      <c r="L951" s="391"/>
    </row>
    <row r="952" spans="1:12" hidden="1" x14ac:dyDescent="0.25">
      <c r="A952" s="228" t="s">
        <v>2</v>
      </c>
      <c r="B952" s="234" t="s">
        <v>340</v>
      </c>
      <c r="C952" s="230" t="s">
        <v>365</v>
      </c>
      <c r="D952" s="230" t="s">
        <v>366</v>
      </c>
      <c r="E952" s="229" t="s">
        <v>22</v>
      </c>
      <c r="F952" s="231">
        <v>11.51</v>
      </c>
      <c r="G952" s="229" t="s">
        <v>1</v>
      </c>
      <c r="H952" s="405">
        <f ca="1">INDEX(PRODUTIVIDADES!$M:$M,MATCH(tbAREAS[[#This Row],[TIPO DE ÁREA]],PRODUTIVIDADES!$B:$B,0)+MATCH(tbAREAS[[#This Row],[LOCALIDADE]],PRODUTIVIDADES!$A:$A,0)-3)*tbAREAS[[#This Row],[ÁREA EM M²]]</f>
        <v>4.6040000000000001</v>
      </c>
      <c r="L952" s="391"/>
    </row>
    <row r="953" spans="1:12" hidden="1" x14ac:dyDescent="0.25">
      <c r="A953" s="228" t="s">
        <v>2</v>
      </c>
      <c r="B953" s="234" t="s">
        <v>340</v>
      </c>
      <c r="C953" s="230" t="s">
        <v>367</v>
      </c>
      <c r="D953" s="230" t="s">
        <v>368</v>
      </c>
      <c r="E953" s="229" t="s">
        <v>10</v>
      </c>
      <c r="F953" s="231">
        <v>19.440000000000001</v>
      </c>
      <c r="G953" s="229" t="s">
        <v>1</v>
      </c>
      <c r="H953" s="405">
        <f ca="1">INDEX(PRODUTIVIDADES!$M:$M,MATCH(tbAREAS[[#This Row],[TIPO DE ÁREA]],PRODUTIVIDADES!$B:$B,0)+MATCH(tbAREAS[[#This Row],[LOCALIDADE]],PRODUTIVIDADES!$A:$A,0)-3)*tbAREAS[[#This Row],[ÁREA EM M²]]</f>
        <v>60.652800000000006</v>
      </c>
      <c r="L953" s="391"/>
    </row>
    <row r="954" spans="1:12" hidden="1" x14ac:dyDescent="0.25">
      <c r="A954" s="228" t="s">
        <v>2</v>
      </c>
      <c r="B954" s="234" t="s">
        <v>340</v>
      </c>
      <c r="C954" s="230" t="s">
        <v>367</v>
      </c>
      <c r="D954" s="230" t="s">
        <v>368</v>
      </c>
      <c r="E954" s="229" t="s">
        <v>14</v>
      </c>
      <c r="F954" s="231">
        <v>18.2</v>
      </c>
      <c r="G954" s="229" t="s">
        <v>1</v>
      </c>
      <c r="H954" s="405">
        <f ca="1">INDEX(PRODUTIVIDADES!$M:$M,MATCH(tbAREAS[[#This Row],[TIPO DE ÁREA]],PRODUTIVIDADES!$B:$B,0)+MATCH(tbAREAS[[#This Row],[LOCALIDADE]],PRODUTIVIDADES!$A:$A,0)-3)*tbAREAS[[#This Row],[ÁREA EM M²]]</f>
        <v>154.69999999999999</v>
      </c>
      <c r="L954" s="391"/>
    </row>
    <row r="955" spans="1:12" hidden="1" x14ac:dyDescent="0.25">
      <c r="A955" s="228" t="s">
        <v>2</v>
      </c>
      <c r="B955" s="234" t="s">
        <v>340</v>
      </c>
      <c r="C955" s="230" t="s">
        <v>367</v>
      </c>
      <c r="D955" s="230" t="s">
        <v>368</v>
      </c>
      <c r="E955" s="229" t="s">
        <v>15</v>
      </c>
      <c r="F955" s="231">
        <v>42.72</v>
      </c>
      <c r="G955" s="229" t="s">
        <v>1</v>
      </c>
      <c r="H955" s="405">
        <f ca="1">INDEX(PRODUTIVIDADES!$M:$M,MATCH(tbAREAS[[#This Row],[TIPO DE ÁREA]],PRODUTIVIDADES!$B:$B,0)+MATCH(tbAREAS[[#This Row],[LOCALIDADE]],PRODUTIVIDADES!$A:$A,0)-3)*tbAREAS[[#This Row],[ÁREA EM M²]]</f>
        <v>29.476799999999997</v>
      </c>
      <c r="L955" s="391"/>
    </row>
    <row r="956" spans="1:12" hidden="1" x14ac:dyDescent="0.25">
      <c r="A956" s="228" t="s">
        <v>2</v>
      </c>
      <c r="B956" s="234" t="s">
        <v>340</v>
      </c>
      <c r="C956" s="230" t="s">
        <v>367</v>
      </c>
      <c r="D956" s="230" t="s">
        <v>368</v>
      </c>
      <c r="E956" s="229" t="s">
        <v>21</v>
      </c>
      <c r="F956" s="231">
        <v>12.95</v>
      </c>
      <c r="G956" s="229" t="s">
        <v>1</v>
      </c>
      <c r="H956" s="405">
        <f ca="1">INDEX(PRODUTIVIDADES!$M:$M,MATCH(tbAREAS[[#This Row],[TIPO DE ÁREA]],PRODUTIVIDADES!$B:$B,0)+MATCH(tbAREAS[[#This Row],[LOCALIDADE]],PRODUTIVIDADES!$A:$A,0)-3)*tbAREAS[[#This Row],[ÁREA EM M²]]</f>
        <v>2.2015000000000002</v>
      </c>
      <c r="L956" s="391"/>
    </row>
    <row r="957" spans="1:12" hidden="1" x14ac:dyDescent="0.25">
      <c r="A957" s="228" t="s">
        <v>2</v>
      </c>
      <c r="B957" s="234" t="s">
        <v>340</v>
      </c>
      <c r="C957" s="230" t="s">
        <v>367</v>
      </c>
      <c r="D957" s="230" t="s">
        <v>368</v>
      </c>
      <c r="E957" s="229" t="s">
        <v>22</v>
      </c>
      <c r="F957" s="231">
        <v>12.95</v>
      </c>
      <c r="G957" s="229" t="s">
        <v>1</v>
      </c>
      <c r="H957" s="405">
        <f ca="1">INDEX(PRODUTIVIDADES!$M:$M,MATCH(tbAREAS[[#This Row],[TIPO DE ÁREA]],PRODUTIVIDADES!$B:$B,0)+MATCH(tbAREAS[[#This Row],[LOCALIDADE]],PRODUTIVIDADES!$A:$A,0)-3)*tbAREAS[[#This Row],[ÁREA EM M²]]</f>
        <v>5.18</v>
      </c>
      <c r="L957" s="391"/>
    </row>
    <row r="958" spans="1:12" hidden="1" x14ac:dyDescent="0.25">
      <c r="A958" s="228" t="s">
        <v>2</v>
      </c>
      <c r="B958" s="234" t="s">
        <v>340</v>
      </c>
      <c r="C958" s="230" t="s">
        <v>369</v>
      </c>
      <c r="D958" s="230" t="s">
        <v>370</v>
      </c>
      <c r="E958" s="229" t="s">
        <v>14</v>
      </c>
      <c r="F958" s="231">
        <v>36.31</v>
      </c>
      <c r="G958" s="229" t="s">
        <v>1</v>
      </c>
      <c r="H958" s="405">
        <f ca="1">INDEX(PRODUTIVIDADES!$M:$M,MATCH(tbAREAS[[#This Row],[TIPO DE ÁREA]],PRODUTIVIDADES!$B:$B,0)+MATCH(tbAREAS[[#This Row],[LOCALIDADE]],PRODUTIVIDADES!$A:$A,0)-3)*tbAREAS[[#This Row],[ÁREA EM M²]]</f>
        <v>308.63499999999999</v>
      </c>
      <c r="L958" s="391"/>
    </row>
    <row r="959" spans="1:12" hidden="1" x14ac:dyDescent="0.25">
      <c r="A959" s="228" t="s">
        <v>2</v>
      </c>
      <c r="B959" s="234" t="s">
        <v>340</v>
      </c>
      <c r="C959" s="230" t="s">
        <v>369</v>
      </c>
      <c r="D959" s="230" t="s">
        <v>370</v>
      </c>
      <c r="E959" s="229" t="s">
        <v>15</v>
      </c>
      <c r="F959" s="231">
        <v>23.45</v>
      </c>
      <c r="G959" s="229" t="s">
        <v>1</v>
      </c>
      <c r="H959" s="405">
        <f ca="1">INDEX(PRODUTIVIDADES!$M:$M,MATCH(tbAREAS[[#This Row],[TIPO DE ÁREA]],PRODUTIVIDADES!$B:$B,0)+MATCH(tbAREAS[[#This Row],[LOCALIDADE]],PRODUTIVIDADES!$A:$A,0)-3)*tbAREAS[[#This Row],[ÁREA EM M²]]</f>
        <v>16.180499999999999</v>
      </c>
      <c r="L959" s="391"/>
    </row>
    <row r="960" spans="1:12" hidden="1" x14ac:dyDescent="0.25">
      <c r="A960" s="228" t="s">
        <v>2</v>
      </c>
      <c r="B960" s="234" t="s">
        <v>340</v>
      </c>
      <c r="C960" s="230" t="s">
        <v>369</v>
      </c>
      <c r="D960" s="230" t="s">
        <v>370</v>
      </c>
      <c r="E960" s="229" t="s">
        <v>16</v>
      </c>
      <c r="F960" s="231">
        <v>400</v>
      </c>
      <c r="G960" s="229" t="s">
        <v>1</v>
      </c>
      <c r="H960" s="405">
        <f ca="1">INDEX(PRODUTIVIDADES!$M:$M,MATCH(tbAREAS[[#This Row],[TIPO DE ÁREA]],PRODUTIVIDADES!$B:$B,0)+MATCH(tbAREAS[[#This Row],[LOCALIDADE]],PRODUTIVIDADES!$A:$A,0)-3)*tbAREAS[[#This Row],[ÁREA EM M²]]</f>
        <v>312</v>
      </c>
      <c r="L960" s="391"/>
    </row>
    <row r="961" spans="1:12" hidden="1" x14ac:dyDescent="0.25">
      <c r="A961" s="228" t="s">
        <v>2</v>
      </c>
      <c r="B961" s="234" t="s">
        <v>340</v>
      </c>
      <c r="C961" s="230" t="s">
        <v>369</v>
      </c>
      <c r="D961" s="230" t="s">
        <v>370</v>
      </c>
      <c r="E961" s="229" t="s">
        <v>18</v>
      </c>
      <c r="F961" s="231">
        <v>4.49</v>
      </c>
      <c r="G961" s="229" t="s">
        <v>1</v>
      </c>
      <c r="H961" s="405">
        <f ca="1">INDEX(PRODUTIVIDADES!$M:$M,MATCH(tbAREAS[[#This Row],[TIPO DE ÁREA]],PRODUTIVIDADES!$B:$B,0)+MATCH(tbAREAS[[#This Row],[LOCALIDADE]],PRODUTIVIDADES!$A:$A,0)-3)*tbAREAS[[#This Row],[ÁREA EM M²]]</f>
        <v>203.62150000000003</v>
      </c>
      <c r="L961" s="391"/>
    </row>
    <row r="962" spans="1:12" hidden="1" x14ac:dyDescent="0.25">
      <c r="A962" s="228" t="s">
        <v>2</v>
      </c>
      <c r="B962" s="234" t="s">
        <v>340</v>
      </c>
      <c r="C962" s="230" t="s">
        <v>369</v>
      </c>
      <c r="D962" s="230" t="s">
        <v>370</v>
      </c>
      <c r="E962" s="229" t="s">
        <v>20</v>
      </c>
      <c r="F962" s="231">
        <v>73.14</v>
      </c>
      <c r="G962" s="229" t="s">
        <v>1</v>
      </c>
      <c r="H962" s="405">
        <f ca="1">INDEX(PRODUTIVIDADES!$M:$M,MATCH(tbAREAS[[#This Row],[TIPO DE ÁREA]],PRODUTIVIDADES!$B:$B,0)+MATCH(tbAREAS[[#This Row],[LOCALIDADE]],PRODUTIVIDADES!$A:$A,0)-3)*tbAREAS[[#This Row],[ÁREA EM M²]]</f>
        <v>57.049199999999999</v>
      </c>
      <c r="L962" s="391"/>
    </row>
    <row r="963" spans="1:12" hidden="1" x14ac:dyDescent="0.25">
      <c r="A963" s="228" t="s">
        <v>2</v>
      </c>
      <c r="B963" s="234" t="s">
        <v>340</v>
      </c>
      <c r="C963" s="230" t="s">
        <v>369</v>
      </c>
      <c r="D963" s="230" t="s">
        <v>370</v>
      </c>
      <c r="E963" s="229" t="s">
        <v>21</v>
      </c>
      <c r="F963" s="231">
        <v>12.46</v>
      </c>
      <c r="G963" s="229" t="s">
        <v>1</v>
      </c>
      <c r="H963" s="405">
        <f ca="1">INDEX(PRODUTIVIDADES!$M:$M,MATCH(tbAREAS[[#This Row],[TIPO DE ÁREA]],PRODUTIVIDADES!$B:$B,0)+MATCH(tbAREAS[[#This Row],[LOCALIDADE]],PRODUTIVIDADES!$A:$A,0)-3)*tbAREAS[[#This Row],[ÁREA EM M²]]</f>
        <v>2.1182000000000003</v>
      </c>
      <c r="L963" s="391"/>
    </row>
    <row r="964" spans="1:12" hidden="1" x14ac:dyDescent="0.25">
      <c r="A964" s="228" t="s">
        <v>2</v>
      </c>
      <c r="B964" s="234" t="s">
        <v>340</v>
      </c>
      <c r="C964" s="230" t="s">
        <v>369</v>
      </c>
      <c r="D964" s="230" t="s">
        <v>370</v>
      </c>
      <c r="E964" s="229" t="s">
        <v>22</v>
      </c>
      <c r="F964" s="231">
        <v>12.46</v>
      </c>
      <c r="G964" s="229" t="s">
        <v>1</v>
      </c>
      <c r="H964" s="405">
        <f ca="1">INDEX(PRODUTIVIDADES!$M:$M,MATCH(tbAREAS[[#This Row],[TIPO DE ÁREA]],PRODUTIVIDADES!$B:$B,0)+MATCH(tbAREAS[[#This Row],[LOCALIDADE]],PRODUTIVIDADES!$A:$A,0)-3)*tbAREAS[[#This Row],[ÁREA EM M²]]</f>
        <v>4.9840000000000009</v>
      </c>
      <c r="L964" s="391"/>
    </row>
    <row r="965" spans="1:12" hidden="1" x14ac:dyDescent="0.25">
      <c r="A965" s="228" t="s">
        <v>2</v>
      </c>
      <c r="B965" s="234" t="s">
        <v>340</v>
      </c>
      <c r="C965" s="230" t="s">
        <v>371</v>
      </c>
      <c r="D965" s="230" t="s">
        <v>372</v>
      </c>
      <c r="E965" s="229" t="s">
        <v>14</v>
      </c>
      <c r="F965" s="231">
        <v>14.92</v>
      </c>
      <c r="G965" s="229" t="s">
        <v>1</v>
      </c>
      <c r="H965" s="405">
        <f ca="1">INDEX(PRODUTIVIDADES!$M:$M,MATCH(tbAREAS[[#This Row],[TIPO DE ÁREA]],PRODUTIVIDADES!$B:$B,0)+MATCH(tbAREAS[[#This Row],[LOCALIDADE]],PRODUTIVIDADES!$A:$A,0)-3)*tbAREAS[[#This Row],[ÁREA EM M²]]</f>
        <v>126.82</v>
      </c>
      <c r="L965" s="391"/>
    </row>
    <row r="966" spans="1:12" hidden="1" x14ac:dyDescent="0.25">
      <c r="A966" s="228" t="s">
        <v>2</v>
      </c>
      <c r="B966" s="234" t="s">
        <v>340</v>
      </c>
      <c r="C966" s="230" t="s">
        <v>371</v>
      </c>
      <c r="D966" s="230" t="s">
        <v>372</v>
      </c>
      <c r="E966" s="229" t="s">
        <v>15</v>
      </c>
      <c r="F966" s="231">
        <v>14.12</v>
      </c>
      <c r="G966" s="229" t="s">
        <v>1</v>
      </c>
      <c r="H966" s="405">
        <f ca="1">INDEX(PRODUTIVIDADES!$M:$M,MATCH(tbAREAS[[#This Row],[TIPO DE ÁREA]],PRODUTIVIDADES!$B:$B,0)+MATCH(tbAREAS[[#This Row],[LOCALIDADE]],PRODUTIVIDADES!$A:$A,0)-3)*tbAREAS[[#This Row],[ÁREA EM M²]]</f>
        <v>9.742799999999999</v>
      </c>
      <c r="L966" s="391"/>
    </row>
    <row r="967" spans="1:12" hidden="1" x14ac:dyDescent="0.25">
      <c r="A967" s="228" t="s">
        <v>2</v>
      </c>
      <c r="B967" s="234" t="s">
        <v>340</v>
      </c>
      <c r="C967" s="230" t="s">
        <v>371</v>
      </c>
      <c r="D967" s="230" t="s">
        <v>372</v>
      </c>
      <c r="E967" s="229" t="s">
        <v>17</v>
      </c>
      <c r="F967" s="231">
        <v>19.38</v>
      </c>
      <c r="G967" s="229" t="s">
        <v>1</v>
      </c>
      <c r="H967" s="405">
        <f ca="1">INDEX(PRODUTIVIDADES!$M:$M,MATCH(tbAREAS[[#This Row],[TIPO DE ÁREA]],PRODUTIVIDADES!$B:$B,0)+MATCH(tbAREAS[[#This Row],[LOCALIDADE]],PRODUTIVIDADES!$A:$A,0)-3)*tbAREAS[[#This Row],[ÁREA EM M²]]</f>
        <v>45.349199999999996</v>
      </c>
      <c r="L967" s="391"/>
    </row>
    <row r="968" spans="1:12" hidden="1" x14ac:dyDescent="0.25">
      <c r="A968" s="228" t="s">
        <v>2</v>
      </c>
      <c r="B968" s="234" t="s">
        <v>340</v>
      </c>
      <c r="C968" s="230" t="s">
        <v>371</v>
      </c>
      <c r="D968" s="230" t="s">
        <v>372</v>
      </c>
      <c r="E968" s="229" t="s">
        <v>20</v>
      </c>
      <c r="F968" s="231">
        <v>11.07</v>
      </c>
      <c r="G968" s="229" t="s">
        <v>1</v>
      </c>
      <c r="H968" s="405">
        <f ca="1">INDEX(PRODUTIVIDADES!$M:$M,MATCH(tbAREAS[[#This Row],[TIPO DE ÁREA]],PRODUTIVIDADES!$B:$B,0)+MATCH(tbAREAS[[#This Row],[LOCALIDADE]],PRODUTIVIDADES!$A:$A,0)-3)*tbAREAS[[#This Row],[ÁREA EM M²]]</f>
        <v>8.6346000000000007</v>
      </c>
      <c r="L968" s="391"/>
    </row>
    <row r="969" spans="1:12" hidden="1" x14ac:dyDescent="0.25">
      <c r="A969" s="228" t="s">
        <v>2</v>
      </c>
      <c r="B969" s="234" t="s">
        <v>340</v>
      </c>
      <c r="C969" s="230" t="s">
        <v>371</v>
      </c>
      <c r="D969" s="230" t="s">
        <v>372</v>
      </c>
      <c r="E969" s="229" t="s">
        <v>21</v>
      </c>
      <c r="F969" s="231">
        <v>7</v>
      </c>
      <c r="G969" s="229" t="s">
        <v>1</v>
      </c>
      <c r="H969" s="405">
        <f ca="1">INDEX(PRODUTIVIDADES!$M:$M,MATCH(tbAREAS[[#This Row],[TIPO DE ÁREA]],PRODUTIVIDADES!$B:$B,0)+MATCH(tbAREAS[[#This Row],[LOCALIDADE]],PRODUTIVIDADES!$A:$A,0)-3)*tbAREAS[[#This Row],[ÁREA EM M²]]</f>
        <v>1.1900000000000002</v>
      </c>
      <c r="L969" s="391"/>
    </row>
    <row r="970" spans="1:12" hidden="1" x14ac:dyDescent="0.25">
      <c r="A970" s="228" t="s">
        <v>2</v>
      </c>
      <c r="B970" s="234" t="s">
        <v>340</v>
      </c>
      <c r="C970" s="230" t="s">
        <v>371</v>
      </c>
      <c r="D970" s="230" t="s">
        <v>372</v>
      </c>
      <c r="E970" s="229" t="s">
        <v>22</v>
      </c>
      <c r="F970" s="231">
        <v>7</v>
      </c>
      <c r="G970" s="229" t="s">
        <v>1</v>
      </c>
      <c r="H970" s="405">
        <f ca="1">INDEX(PRODUTIVIDADES!$M:$M,MATCH(tbAREAS[[#This Row],[TIPO DE ÁREA]],PRODUTIVIDADES!$B:$B,0)+MATCH(tbAREAS[[#This Row],[LOCALIDADE]],PRODUTIVIDADES!$A:$A,0)-3)*tbAREAS[[#This Row],[ÁREA EM M²]]</f>
        <v>2.8000000000000003</v>
      </c>
      <c r="L970" s="391"/>
    </row>
    <row r="971" spans="1:12" hidden="1" x14ac:dyDescent="0.25">
      <c r="A971" s="228" t="s">
        <v>2</v>
      </c>
      <c r="B971" s="234" t="s">
        <v>340</v>
      </c>
      <c r="C971" s="230" t="s">
        <v>373</v>
      </c>
      <c r="D971" s="230" t="s">
        <v>374</v>
      </c>
      <c r="E971" s="229" t="s">
        <v>15</v>
      </c>
      <c r="F971" s="231">
        <v>600</v>
      </c>
      <c r="G971" s="229" t="s">
        <v>1</v>
      </c>
      <c r="H971" s="405">
        <f ca="1">INDEX(PRODUTIVIDADES!$M:$M,MATCH(tbAREAS[[#This Row],[TIPO DE ÁREA]],PRODUTIVIDADES!$B:$B,0)+MATCH(tbAREAS[[#This Row],[LOCALIDADE]],PRODUTIVIDADES!$A:$A,0)-3)*tbAREAS[[#This Row],[ÁREA EM M²]]</f>
        <v>413.99999999999994</v>
      </c>
      <c r="L971" s="391"/>
    </row>
    <row r="972" spans="1:12" hidden="1" x14ac:dyDescent="0.25">
      <c r="A972" s="228" t="s">
        <v>2</v>
      </c>
      <c r="B972" s="234" t="s">
        <v>340</v>
      </c>
      <c r="C972" s="230" t="s">
        <v>375</v>
      </c>
      <c r="D972" s="230" t="s">
        <v>376</v>
      </c>
      <c r="E972" s="229" t="s">
        <v>10</v>
      </c>
      <c r="F972" s="231">
        <v>130.26</v>
      </c>
      <c r="G972" s="229" t="s">
        <v>1</v>
      </c>
      <c r="H972" s="405">
        <f ca="1">INDEX(PRODUTIVIDADES!$M:$M,MATCH(tbAREAS[[#This Row],[TIPO DE ÁREA]],PRODUTIVIDADES!$B:$B,0)+MATCH(tbAREAS[[#This Row],[LOCALIDADE]],PRODUTIVIDADES!$A:$A,0)-3)*tbAREAS[[#This Row],[ÁREA EM M²]]</f>
        <v>406.41120000000001</v>
      </c>
      <c r="L972" s="391"/>
    </row>
    <row r="973" spans="1:12" hidden="1" x14ac:dyDescent="0.25">
      <c r="A973" s="228" t="s">
        <v>2</v>
      </c>
      <c r="B973" s="234" t="s">
        <v>340</v>
      </c>
      <c r="C973" s="230" t="s">
        <v>375</v>
      </c>
      <c r="D973" s="230" t="s">
        <v>376</v>
      </c>
      <c r="E973" s="229" t="s">
        <v>15</v>
      </c>
      <c r="F973" s="231">
        <v>160</v>
      </c>
      <c r="G973" s="229" t="s">
        <v>1</v>
      </c>
      <c r="H973" s="405">
        <f ca="1">INDEX(PRODUTIVIDADES!$M:$M,MATCH(tbAREAS[[#This Row],[TIPO DE ÁREA]],PRODUTIVIDADES!$B:$B,0)+MATCH(tbAREAS[[#This Row],[LOCALIDADE]],PRODUTIVIDADES!$A:$A,0)-3)*tbAREAS[[#This Row],[ÁREA EM M²]]</f>
        <v>110.39999999999999</v>
      </c>
      <c r="L973" s="391"/>
    </row>
    <row r="974" spans="1:12" hidden="1" x14ac:dyDescent="0.25">
      <c r="A974" s="228" t="s">
        <v>2</v>
      </c>
      <c r="B974" s="234" t="s">
        <v>340</v>
      </c>
      <c r="C974" s="230" t="s">
        <v>375</v>
      </c>
      <c r="D974" s="230" t="s">
        <v>376</v>
      </c>
      <c r="E974" s="229" t="s">
        <v>16</v>
      </c>
      <c r="F974" s="231">
        <v>1600</v>
      </c>
      <c r="G974" s="229" t="s">
        <v>1</v>
      </c>
      <c r="H974" s="405">
        <f ca="1">INDEX(PRODUTIVIDADES!$M:$M,MATCH(tbAREAS[[#This Row],[TIPO DE ÁREA]],PRODUTIVIDADES!$B:$B,0)+MATCH(tbAREAS[[#This Row],[LOCALIDADE]],PRODUTIVIDADES!$A:$A,0)-3)*tbAREAS[[#This Row],[ÁREA EM M²]]</f>
        <v>1248</v>
      </c>
      <c r="L974" s="391"/>
    </row>
    <row r="975" spans="1:12" hidden="1" x14ac:dyDescent="0.25">
      <c r="A975" s="228" t="s">
        <v>2</v>
      </c>
      <c r="B975" s="234" t="s">
        <v>340</v>
      </c>
      <c r="C975" s="230" t="s">
        <v>375</v>
      </c>
      <c r="D975" s="230" t="s">
        <v>376</v>
      </c>
      <c r="E975" s="229" t="s">
        <v>17</v>
      </c>
      <c r="F975" s="231">
        <v>450</v>
      </c>
      <c r="G975" s="229" t="s">
        <v>1</v>
      </c>
      <c r="H975" s="405">
        <f ca="1">INDEX(PRODUTIVIDADES!$M:$M,MATCH(tbAREAS[[#This Row],[TIPO DE ÁREA]],PRODUTIVIDADES!$B:$B,0)+MATCH(tbAREAS[[#This Row],[LOCALIDADE]],PRODUTIVIDADES!$A:$A,0)-3)*tbAREAS[[#This Row],[ÁREA EM M²]]</f>
        <v>1053</v>
      </c>
      <c r="L975" s="391"/>
    </row>
    <row r="976" spans="1:12" hidden="1" x14ac:dyDescent="0.25">
      <c r="A976" s="228" t="s">
        <v>2</v>
      </c>
      <c r="B976" s="234" t="s">
        <v>340</v>
      </c>
      <c r="C976" s="230" t="s">
        <v>375</v>
      </c>
      <c r="D976" s="230" t="s">
        <v>376</v>
      </c>
      <c r="E976" s="229" t="s">
        <v>18</v>
      </c>
      <c r="F976" s="231">
        <v>10</v>
      </c>
      <c r="G976" s="229" t="s">
        <v>1</v>
      </c>
      <c r="H976" s="405">
        <f ca="1">INDEX(PRODUTIVIDADES!$M:$M,MATCH(tbAREAS[[#This Row],[TIPO DE ÁREA]],PRODUTIVIDADES!$B:$B,0)+MATCH(tbAREAS[[#This Row],[LOCALIDADE]],PRODUTIVIDADES!$A:$A,0)-3)*tbAREAS[[#This Row],[ÁREA EM M²]]</f>
        <v>453.5</v>
      </c>
      <c r="L976" s="391"/>
    </row>
    <row r="977" spans="1:12" hidden="1" x14ac:dyDescent="0.25">
      <c r="A977" s="228" t="s">
        <v>2</v>
      </c>
      <c r="B977" s="234" t="s">
        <v>340</v>
      </c>
      <c r="C977" s="230" t="s">
        <v>375</v>
      </c>
      <c r="D977" s="230" t="s">
        <v>376</v>
      </c>
      <c r="E977" s="229" t="s">
        <v>21</v>
      </c>
      <c r="F977" s="231">
        <v>158.76</v>
      </c>
      <c r="G977" s="229" t="s">
        <v>1</v>
      </c>
      <c r="H977" s="405">
        <f ca="1">INDEX(PRODUTIVIDADES!$M:$M,MATCH(tbAREAS[[#This Row],[TIPO DE ÁREA]],PRODUTIVIDADES!$B:$B,0)+MATCH(tbAREAS[[#This Row],[LOCALIDADE]],PRODUTIVIDADES!$A:$A,0)-3)*tbAREAS[[#This Row],[ÁREA EM M²]]</f>
        <v>26.9892</v>
      </c>
      <c r="L977" s="391"/>
    </row>
    <row r="978" spans="1:12" hidden="1" x14ac:dyDescent="0.25">
      <c r="A978" s="228" t="s">
        <v>2</v>
      </c>
      <c r="B978" s="234" t="s">
        <v>340</v>
      </c>
      <c r="C978" s="230" t="s">
        <v>375</v>
      </c>
      <c r="D978" s="230" t="s">
        <v>376</v>
      </c>
      <c r="E978" s="229" t="s">
        <v>22</v>
      </c>
      <c r="F978" s="231">
        <v>158.76</v>
      </c>
      <c r="G978" s="229" t="s">
        <v>1</v>
      </c>
      <c r="H978" s="405">
        <f ca="1">INDEX(PRODUTIVIDADES!$M:$M,MATCH(tbAREAS[[#This Row],[TIPO DE ÁREA]],PRODUTIVIDADES!$B:$B,0)+MATCH(tbAREAS[[#This Row],[LOCALIDADE]],PRODUTIVIDADES!$A:$A,0)-3)*tbAREAS[[#This Row],[ÁREA EM M²]]</f>
        <v>63.503999999999998</v>
      </c>
      <c r="L978" s="391"/>
    </row>
    <row r="979" spans="1:12" hidden="1" x14ac:dyDescent="0.25">
      <c r="A979" s="228" t="s">
        <v>2</v>
      </c>
      <c r="B979" s="234" t="s">
        <v>340</v>
      </c>
      <c r="C979" s="230" t="s">
        <v>377</v>
      </c>
      <c r="D979" s="230" t="s">
        <v>378</v>
      </c>
      <c r="E979" s="229" t="s">
        <v>15</v>
      </c>
      <c r="F979" s="231">
        <v>143.52000000000001</v>
      </c>
      <c r="G979" s="229" t="s">
        <v>1</v>
      </c>
      <c r="H979" s="405">
        <f ca="1">INDEX(PRODUTIVIDADES!$M:$M,MATCH(tbAREAS[[#This Row],[TIPO DE ÁREA]],PRODUTIVIDADES!$B:$B,0)+MATCH(tbAREAS[[#This Row],[LOCALIDADE]],PRODUTIVIDADES!$A:$A,0)-3)*tbAREAS[[#This Row],[ÁREA EM M²]]</f>
        <v>99.028800000000004</v>
      </c>
      <c r="L979" s="391"/>
    </row>
    <row r="980" spans="1:12" hidden="1" x14ac:dyDescent="0.25">
      <c r="A980" s="228" t="s">
        <v>2</v>
      </c>
      <c r="B980" s="234" t="s">
        <v>340</v>
      </c>
      <c r="C980" s="230" t="s">
        <v>377</v>
      </c>
      <c r="D980" s="230" t="s">
        <v>378</v>
      </c>
      <c r="E980" s="229" t="s">
        <v>21</v>
      </c>
      <c r="F980" s="231">
        <v>37.26</v>
      </c>
      <c r="G980" s="229" t="s">
        <v>1</v>
      </c>
      <c r="H980" s="405">
        <f ca="1">INDEX(PRODUTIVIDADES!$M:$M,MATCH(tbAREAS[[#This Row],[TIPO DE ÁREA]],PRODUTIVIDADES!$B:$B,0)+MATCH(tbAREAS[[#This Row],[LOCALIDADE]],PRODUTIVIDADES!$A:$A,0)-3)*tbAREAS[[#This Row],[ÁREA EM M²]]</f>
        <v>6.3342000000000001</v>
      </c>
      <c r="L980" s="391"/>
    </row>
    <row r="981" spans="1:12" hidden="1" x14ac:dyDescent="0.25">
      <c r="A981" s="228" t="s">
        <v>2</v>
      </c>
      <c r="B981" s="234" t="s">
        <v>340</v>
      </c>
      <c r="C981" s="230" t="s">
        <v>377</v>
      </c>
      <c r="D981" s="230" t="s">
        <v>378</v>
      </c>
      <c r="E981" s="229" t="s">
        <v>22</v>
      </c>
      <c r="F981" s="231">
        <v>37.26</v>
      </c>
      <c r="G981" s="229" t="s">
        <v>1</v>
      </c>
      <c r="H981" s="405">
        <f ca="1">INDEX(PRODUTIVIDADES!$M:$M,MATCH(tbAREAS[[#This Row],[TIPO DE ÁREA]],PRODUTIVIDADES!$B:$B,0)+MATCH(tbAREAS[[#This Row],[LOCALIDADE]],PRODUTIVIDADES!$A:$A,0)-3)*tbAREAS[[#This Row],[ÁREA EM M²]]</f>
        <v>14.904</v>
      </c>
      <c r="L981" s="391"/>
    </row>
    <row r="982" spans="1:12" hidden="1" x14ac:dyDescent="0.25">
      <c r="A982" s="228" t="s">
        <v>2</v>
      </c>
      <c r="B982" s="234" t="s">
        <v>340</v>
      </c>
      <c r="C982" s="230" t="s">
        <v>379</v>
      </c>
      <c r="D982" s="230" t="s">
        <v>380</v>
      </c>
      <c r="E982" s="229" t="s">
        <v>9</v>
      </c>
      <c r="F982" s="231">
        <v>113.87</v>
      </c>
      <c r="G982" s="229" t="s">
        <v>1</v>
      </c>
      <c r="H982" s="405">
        <f ca="1">INDEX(PRODUTIVIDADES!$M:$M,MATCH(tbAREAS[[#This Row],[TIPO DE ÁREA]],PRODUTIVIDADES!$B:$B,0)+MATCH(tbAREAS[[#This Row],[LOCALIDADE]],PRODUTIVIDADES!$A:$A,0)-3)*tbAREAS[[#This Row],[ÁREA EM M²]]</f>
        <v>888.18600000000004</v>
      </c>
      <c r="L982" s="391"/>
    </row>
    <row r="983" spans="1:12" hidden="1" x14ac:dyDescent="0.25">
      <c r="A983" s="228" t="s">
        <v>2</v>
      </c>
      <c r="B983" s="234" t="s">
        <v>340</v>
      </c>
      <c r="C983" s="230" t="s">
        <v>379</v>
      </c>
      <c r="D983" s="230" t="s">
        <v>380</v>
      </c>
      <c r="E983" s="229" t="s">
        <v>10</v>
      </c>
      <c r="F983" s="231">
        <v>37.799999999999997</v>
      </c>
      <c r="G983" s="229" t="s">
        <v>1</v>
      </c>
      <c r="H983" s="405">
        <f ca="1">INDEX(PRODUTIVIDADES!$M:$M,MATCH(tbAREAS[[#This Row],[TIPO DE ÁREA]],PRODUTIVIDADES!$B:$B,0)+MATCH(tbAREAS[[#This Row],[LOCALIDADE]],PRODUTIVIDADES!$A:$A,0)-3)*tbAREAS[[#This Row],[ÁREA EM M²]]</f>
        <v>117.93599999999999</v>
      </c>
      <c r="L983" s="391"/>
    </row>
    <row r="984" spans="1:12" hidden="1" x14ac:dyDescent="0.25">
      <c r="A984" s="228" t="s">
        <v>2</v>
      </c>
      <c r="B984" s="234" t="s">
        <v>340</v>
      </c>
      <c r="C984" s="230" t="s">
        <v>379</v>
      </c>
      <c r="D984" s="230" t="s">
        <v>380</v>
      </c>
      <c r="E984" s="229" t="s">
        <v>15</v>
      </c>
      <c r="F984" s="231">
        <v>286.5</v>
      </c>
      <c r="G984" s="229" t="s">
        <v>1</v>
      </c>
      <c r="H984" s="405">
        <f ca="1">INDEX(PRODUTIVIDADES!$M:$M,MATCH(tbAREAS[[#This Row],[TIPO DE ÁREA]],PRODUTIVIDADES!$B:$B,0)+MATCH(tbAREAS[[#This Row],[LOCALIDADE]],PRODUTIVIDADES!$A:$A,0)-3)*tbAREAS[[#This Row],[ÁREA EM M²]]</f>
        <v>197.68499999999997</v>
      </c>
      <c r="L984" s="391"/>
    </row>
    <row r="985" spans="1:12" hidden="1" x14ac:dyDescent="0.25">
      <c r="A985" s="228" t="s">
        <v>2</v>
      </c>
      <c r="B985" s="234" t="s">
        <v>340</v>
      </c>
      <c r="C985" s="230" t="s">
        <v>379</v>
      </c>
      <c r="D985" s="230" t="s">
        <v>380</v>
      </c>
      <c r="E985" s="229" t="s">
        <v>16</v>
      </c>
      <c r="F985" s="231">
        <v>158</v>
      </c>
      <c r="G985" s="229" t="s">
        <v>1</v>
      </c>
      <c r="H985" s="405">
        <f ca="1">INDEX(PRODUTIVIDADES!$M:$M,MATCH(tbAREAS[[#This Row],[TIPO DE ÁREA]],PRODUTIVIDADES!$B:$B,0)+MATCH(tbAREAS[[#This Row],[LOCALIDADE]],PRODUTIVIDADES!$A:$A,0)-3)*tbAREAS[[#This Row],[ÁREA EM M²]]</f>
        <v>123.24000000000001</v>
      </c>
      <c r="L985" s="391"/>
    </row>
    <row r="986" spans="1:12" hidden="1" x14ac:dyDescent="0.25">
      <c r="A986" s="228" t="s">
        <v>2</v>
      </c>
      <c r="B986" s="234" t="s">
        <v>340</v>
      </c>
      <c r="C986" s="230" t="s">
        <v>381</v>
      </c>
      <c r="D986" s="230" t="s">
        <v>319</v>
      </c>
      <c r="E986" s="229" t="s">
        <v>10</v>
      </c>
      <c r="F986" s="231">
        <v>23.37</v>
      </c>
      <c r="G986" s="229" t="s">
        <v>1</v>
      </c>
      <c r="H986" s="405">
        <f ca="1">INDEX(PRODUTIVIDADES!$M:$M,MATCH(tbAREAS[[#This Row],[TIPO DE ÁREA]],PRODUTIVIDADES!$B:$B,0)+MATCH(tbAREAS[[#This Row],[LOCALIDADE]],PRODUTIVIDADES!$A:$A,0)-3)*tbAREAS[[#This Row],[ÁREA EM M²]]</f>
        <v>72.914400000000001</v>
      </c>
      <c r="L986" s="391"/>
    </row>
    <row r="987" spans="1:12" hidden="1" x14ac:dyDescent="0.25">
      <c r="A987" s="228" t="s">
        <v>2</v>
      </c>
      <c r="B987" s="234" t="s">
        <v>340</v>
      </c>
      <c r="C987" s="230" t="s">
        <v>381</v>
      </c>
      <c r="D987" s="230" t="s">
        <v>319</v>
      </c>
      <c r="E987" s="229" t="s">
        <v>14</v>
      </c>
      <c r="F987" s="231">
        <v>179.55</v>
      </c>
      <c r="G987" s="229" t="s">
        <v>1</v>
      </c>
      <c r="H987" s="405">
        <f ca="1">INDEX(PRODUTIVIDADES!$M:$M,MATCH(tbAREAS[[#This Row],[TIPO DE ÁREA]],PRODUTIVIDADES!$B:$B,0)+MATCH(tbAREAS[[#This Row],[LOCALIDADE]],PRODUTIVIDADES!$A:$A,0)-3)*tbAREAS[[#This Row],[ÁREA EM M²]]</f>
        <v>1526.1750000000002</v>
      </c>
      <c r="L987" s="391"/>
    </row>
    <row r="988" spans="1:12" hidden="1" x14ac:dyDescent="0.25">
      <c r="A988" s="228" t="s">
        <v>2</v>
      </c>
      <c r="B988" s="234" t="s">
        <v>340</v>
      </c>
      <c r="C988" s="230" t="s">
        <v>381</v>
      </c>
      <c r="D988" s="230" t="s">
        <v>319</v>
      </c>
      <c r="E988" s="229" t="s">
        <v>15</v>
      </c>
      <c r="F988" s="231">
        <v>10.58</v>
      </c>
      <c r="G988" s="229" t="s">
        <v>1</v>
      </c>
      <c r="H988" s="405">
        <f ca="1">INDEX(PRODUTIVIDADES!$M:$M,MATCH(tbAREAS[[#This Row],[TIPO DE ÁREA]],PRODUTIVIDADES!$B:$B,0)+MATCH(tbAREAS[[#This Row],[LOCALIDADE]],PRODUTIVIDADES!$A:$A,0)-3)*tbAREAS[[#This Row],[ÁREA EM M²]]</f>
        <v>7.3001999999999994</v>
      </c>
      <c r="L988" s="391"/>
    </row>
    <row r="989" spans="1:12" hidden="1" x14ac:dyDescent="0.25">
      <c r="A989" s="228" t="s">
        <v>2</v>
      </c>
      <c r="B989" s="234" t="s">
        <v>340</v>
      </c>
      <c r="C989" s="230" t="s">
        <v>381</v>
      </c>
      <c r="D989" s="230" t="s">
        <v>319</v>
      </c>
      <c r="E989" s="229" t="s">
        <v>21</v>
      </c>
      <c r="F989" s="231">
        <v>26</v>
      </c>
      <c r="G989" s="229" t="s">
        <v>1</v>
      </c>
      <c r="H989" s="405">
        <f ca="1">INDEX(PRODUTIVIDADES!$M:$M,MATCH(tbAREAS[[#This Row],[TIPO DE ÁREA]],PRODUTIVIDADES!$B:$B,0)+MATCH(tbAREAS[[#This Row],[LOCALIDADE]],PRODUTIVIDADES!$A:$A,0)-3)*tbAREAS[[#This Row],[ÁREA EM M²]]</f>
        <v>4.42</v>
      </c>
      <c r="L989" s="391"/>
    </row>
    <row r="990" spans="1:12" hidden="1" x14ac:dyDescent="0.25">
      <c r="A990" s="228" t="s">
        <v>2</v>
      </c>
      <c r="B990" s="234" t="s">
        <v>340</v>
      </c>
      <c r="C990" s="230" t="s">
        <v>381</v>
      </c>
      <c r="D990" s="230" t="s">
        <v>319</v>
      </c>
      <c r="E990" s="229" t="s">
        <v>22</v>
      </c>
      <c r="F990" s="231">
        <v>60.48</v>
      </c>
      <c r="G990" s="229" t="s">
        <v>1</v>
      </c>
      <c r="H990" s="405">
        <f ca="1">INDEX(PRODUTIVIDADES!$M:$M,MATCH(tbAREAS[[#This Row],[TIPO DE ÁREA]],PRODUTIVIDADES!$B:$B,0)+MATCH(tbAREAS[[#This Row],[LOCALIDADE]],PRODUTIVIDADES!$A:$A,0)-3)*tbAREAS[[#This Row],[ÁREA EM M²]]</f>
        <v>24.192</v>
      </c>
      <c r="L990" s="391"/>
    </row>
    <row r="991" spans="1:12" hidden="1" x14ac:dyDescent="0.25">
      <c r="A991" s="228" t="s">
        <v>2</v>
      </c>
      <c r="B991" s="234" t="s">
        <v>340</v>
      </c>
      <c r="C991" s="230" t="s">
        <v>382</v>
      </c>
      <c r="D991" s="230" t="s">
        <v>383</v>
      </c>
      <c r="E991" s="229" t="s">
        <v>10</v>
      </c>
      <c r="F991" s="231">
        <v>53.43</v>
      </c>
      <c r="G991" s="229" t="s">
        <v>1</v>
      </c>
      <c r="H991" s="405">
        <f ca="1">INDEX(PRODUTIVIDADES!$M:$M,MATCH(tbAREAS[[#This Row],[TIPO DE ÁREA]],PRODUTIVIDADES!$B:$B,0)+MATCH(tbAREAS[[#This Row],[LOCALIDADE]],PRODUTIVIDADES!$A:$A,0)-3)*tbAREAS[[#This Row],[ÁREA EM M²]]</f>
        <v>166.70160000000001</v>
      </c>
      <c r="L991" s="391"/>
    </row>
    <row r="992" spans="1:12" hidden="1" x14ac:dyDescent="0.25">
      <c r="A992" s="228" t="s">
        <v>2</v>
      </c>
      <c r="B992" s="234" t="s">
        <v>340</v>
      </c>
      <c r="C992" s="230" t="s">
        <v>382</v>
      </c>
      <c r="D992" s="230" t="s">
        <v>383</v>
      </c>
      <c r="E992" s="229" t="s">
        <v>14</v>
      </c>
      <c r="F992" s="231">
        <v>79.709999999999994</v>
      </c>
      <c r="G992" s="229" t="s">
        <v>1</v>
      </c>
      <c r="H992" s="405">
        <f ca="1">INDEX(PRODUTIVIDADES!$M:$M,MATCH(tbAREAS[[#This Row],[TIPO DE ÁREA]],PRODUTIVIDADES!$B:$B,0)+MATCH(tbAREAS[[#This Row],[LOCALIDADE]],PRODUTIVIDADES!$A:$A,0)-3)*tbAREAS[[#This Row],[ÁREA EM M²]]</f>
        <v>677.53499999999997</v>
      </c>
      <c r="L992" s="391"/>
    </row>
    <row r="993" spans="1:12" hidden="1" x14ac:dyDescent="0.25">
      <c r="A993" s="228" t="s">
        <v>2</v>
      </c>
      <c r="B993" s="234" t="s">
        <v>340</v>
      </c>
      <c r="C993" s="230" t="s">
        <v>382</v>
      </c>
      <c r="D993" s="230" t="s">
        <v>383</v>
      </c>
      <c r="E993" s="229" t="s">
        <v>21</v>
      </c>
      <c r="F993" s="231">
        <v>37.86</v>
      </c>
      <c r="G993" s="229" t="s">
        <v>1</v>
      </c>
      <c r="H993" s="405">
        <f ca="1">INDEX(PRODUTIVIDADES!$M:$M,MATCH(tbAREAS[[#This Row],[TIPO DE ÁREA]],PRODUTIVIDADES!$B:$B,0)+MATCH(tbAREAS[[#This Row],[LOCALIDADE]],PRODUTIVIDADES!$A:$A,0)-3)*tbAREAS[[#This Row],[ÁREA EM M²]]</f>
        <v>6.4362000000000004</v>
      </c>
      <c r="L993" s="391"/>
    </row>
    <row r="994" spans="1:12" hidden="1" x14ac:dyDescent="0.25">
      <c r="A994" s="228" t="s">
        <v>2</v>
      </c>
      <c r="B994" s="234" t="s">
        <v>340</v>
      </c>
      <c r="C994" s="230" t="s">
        <v>382</v>
      </c>
      <c r="D994" s="230" t="s">
        <v>383</v>
      </c>
      <c r="E994" s="229" t="s">
        <v>22</v>
      </c>
      <c r="F994" s="231">
        <v>37.86</v>
      </c>
      <c r="G994" s="229" t="s">
        <v>1</v>
      </c>
      <c r="H994" s="405">
        <f ca="1">INDEX(PRODUTIVIDADES!$M:$M,MATCH(tbAREAS[[#This Row],[TIPO DE ÁREA]],PRODUTIVIDADES!$B:$B,0)+MATCH(tbAREAS[[#This Row],[LOCALIDADE]],PRODUTIVIDADES!$A:$A,0)-3)*tbAREAS[[#This Row],[ÁREA EM M²]]</f>
        <v>15.144</v>
      </c>
      <c r="L994" s="391"/>
    </row>
    <row r="995" spans="1:12" hidden="1" x14ac:dyDescent="0.25">
      <c r="A995" s="228" t="s">
        <v>2</v>
      </c>
      <c r="B995" s="234" t="s">
        <v>340</v>
      </c>
      <c r="C995" s="230" t="s">
        <v>384</v>
      </c>
      <c r="D995" s="230" t="s">
        <v>385</v>
      </c>
      <c r="E995" s="229" t="s">
        <v>9</v>
      </c>
      <c r="F995" s="231">
        <v>74.819999999999993</v>
      </c>
      <c r="G995" s="229" t="s">
        <v>1</v>
      </c>
      <c r="H995" s="405">
        <f ca="1">INDEX(PRODUTIVIDADES!$M:$M,MATCH(tbAREAS[[#This Row],[TIPO DE ÁREA]],PRODUTIVIDADES!$B:$B,0)+MATCH(tbAREAS[[#This Row],[LOCALIDADE]],PRODUTIVIDADES!$A:$A,0)-3)*tbAREAS[[#This Row],[ÁREA EM M²]]</f>
        <v>583.59599999999989</v>
      </c>
      <c r="L995" s="391"/>
    </row>
    <row r="996" spans="1:12" hidden="1" x14ac:dyDescent="0.25">
      <c r="A996" s="228" t="s">
        <v>2</v>
      </c>
      <c r="B996" s="234" t="s">
        <v>340</v>
      </c>
      <c r="C996" s="230" t="s">
        <v>384</v>
      </c>
      <c r="D996" s="230" t="s">
        <v>385</v>
      </c>
      <c r="E996" s="229" t="s">
        <v>10</v>
      </c>
      <c r="F996" s="231">
        <v>85</v>
      </c>
      <c r="G996" s="229" t="s">
        <v>1</v>
      </c>
      <c r="H996" s="405">
        <f ca="1">INDEX(PRODUTIVIDADES!$M:$M,MATCH(tbAREAS[[#This Row],[TIPO DE ÁREA]],PRODUTIVIDADES!$B:$B,0)+MATCH(tbAREAS[[#This Row],[LOCALIDADE]],PRODUTIVIDADES!$A:$A,0)-3)*tbAREAS[[#This Row],[ÁREA EM M²]]</f>
        <v>265.2</v>
      </c>
      <c r="L996" s="391"/>
    </row>
    <row r="997" spans="1:12" hidden="1" x14ac:dyDescent="0.25">
      <c r="A997" s="228" t="s">
        <v>2</v>
      </c>
      <c r="B997" s="234" t="s">
        <v>340</v>
      </c>
      <c r="C997" s="230" t="s">
        <v>384</v>
      </c>
      <c r="D997" s="230" t="s">
        <v>385</v>
      </c>
      <c r="E997" s="229" t="s">
        <v>14</v>
      </c>
      <c r="F997" s="231">
        <v>11.32</v>
      </c>
      <c r="G997" s="229" t="s">
        <v>1</v>
      </c>
      <c r="H997" s="405">
        <f ca="1">INDEX(PRODUTIVIDADES!$M:$M,MATCH(tbAREAS[[#This Row],[TIPO DE ÁREA]],PRODUTIVIDADES!$B:$B,0)+MATCH(tbAREAS[[#This Row],[LOCALIDADE]],PRODUTIVIDADES!$A:$A,0)-3)*tbAREAS[[#This Row],[ÁREA EM M²]]</f>
        <v>96.22</v>
      </c>
      <c r="L997" s="391"/>
    </row>
    <row r="998" spans="1:12" hidden="1" x14ac:dyDescent="0.25">
      <c r="A998" s="228" t="s">
        <v>2</v>
      </c>
      <c r="B998" s="234" t="s">
        <v>340</v>
      </c>
      <c r="C998" s="230" t="s">
        <v>384</v>
      </c>
      <c r="D998" s="230" t="s">
        <v>385</v>
      </c>
      <c r="E998" s="229" t="s">
        <v>15</v>
      </c>
      <c r="F998" s="231">
        <v>40.53</v>
      </c>
      <c r="G998" s="229" t="s">
        <v>1</v>
      </c>
      <c r="H998" s="405">
        <f ca="1">INDEX(PRODUTIVIDADES!$M:$M,MATCH(tbAREAS[[#This Row],[TIPO DE ÁREA]],PRODUTIVIDADES!$B:$B,0)+MATCH(tbAREAS[[#This Row],[LOCALIDADE]],PRODUTIVIDADES!$A:$A,0)-3)*tbAREAS[[#This Row],[ÁREA EM M²]]</f>
        <v>27.965699999999998</v>
      </c>
      <c r="L998" s="391"/>
    </row>
    <row r="999" spans="1:12" hidden="1" x14ac:dyDescent="0.25">
      <c r="A999" s="228" t="s">
        <v>2</v>
      </c>
      <c r="B999" s="234" t="s">
        <v>340</v>
      </c>
      <c r="C999" s="230" t="s">
        <v>384</v>
      </c>
      <c r="D999" s="230" t="s">
        <v>385</v>
      </c>
      <c r="E999" s="229" t="s">
        <v>16</v>
      </c>
      <c r="F999" s="231">
        <v>816.58</v>
      </c>
      <c r="G999" s="229" t="s">
        <v>1</v>
      </c>
      <c r="H999" s="405">
        <f ca="1">INDEX(PRODUTIVIDADES!$M:$M,MATCH(tbAREAS[[#This Row],[TIPO DE ÁREA]],PRODUTIVIDADES!$B:$B,0)+MATCH(tbAREAS[[#This Row],[LOCALIDADE]],PRODUTIVIDADES!$A:$A,0)-3)*tbAREAS[[#This Row],[ÁREA EM M²]]</f>
        <v>636.93240000000003</v>
      </c>
      <c r="L999" s="391"/>
    </row>
    <row r="1000" spans="1:12" hidden="1" x14ac:dyDescent="0.25">
      <c r="A1000" s="228" t="s">
        <v>2</v>
      </c>
      <c r="B1000" s="234" t="s">
        <v>340</v>
      </c>
      <c r="C1000" s="230" t="s">
        <v>384</v>
      </c>
      <c r="D1000" s="230" t="s">
        <v>385</v>
      </c>
      <c r="E1000" s="229" t="s">
        <v>18</v>
      </c>
      <c r="F1000" s="231">
        <v>8.5399999999999991</v>
      </c>
      <c r="G1000" s="229" t="s">
        <v>1</v>
      </c>
      <c r="H1000" s="405">
        <f ca="1">INDEX(PRODUTIVIDADES!$M:$M,MATCH(tbAREAS[[#This Row],[TIPO DE ÁREA]],PRODUTIVIDADES!$B:$B,0)+MATCH(tbAREAS[[#This Row],[LOCALIDADE]],PRODUTIVIDADES!$A:$A,0)-3)*tbAREAS[[#This Row],[ÁREA EM M²]]</f>
        <v>387.28899999999999</v>
      </c>
      <c r="L1000" s="391"/>
    </row>
    <row r="1001" spans="1:12" hidden="1" x14ac:dyDescent="0.25">
      <c r="A1001" s="228" t="s">
        <v>2</v>
      </c>
      <c r="B1001" s="234" t="s">
        <v>340</v>
      </c>
      <c r="C1001" s="230" t="s">
        <v>384</v>
      </c>
      <c r="D1001" s="230" t="s">
        <v>385</v>
      </c>
      <c r="E1001" s="229" t="s">
        <v>21</v>
      </c>
      <c r="F1001" s="231">
        <v>34.39</v>
      </c>
      <c r="G1001" s="229" t="s">
        <v>1</v>
      </c>
      <c r="H1001" s="405">
        <f ca="1">INDEX(PRODUTIVIDADES!$M:$M,MATCH(tbAREAS[[#This Row],[TIPO DE ÁREA]],PRODUTIVIDADES!$B:$B,0)+MATCH(tbAREAS[[#This Row],[LOCALIDADE]],PRODUTIVIDADES!$A:$A,0)-3)*tbAREAS[[#This Row],[ÁREA EM M²]]</f>
        <v>5.8463000000000003</v>
      </c>
      <c r="L1001" s="391"/>
    </row>
    <row r="1002" spans="1:12" hidden="1" x14ac:dyDescent="0.25">
      <c r="A1002" s="228" t="s">
        <v>2</v>
      </c>
      <c r="B1002" s="234" t="s">
        <v>340</v>
      </c>
      <c r="C1002" s="230" t="s">
        <v>384</v>
      </c>
      <c r="D1002" s="230" t="s">
        <v>385</v>
      </c>
      <c r="E1002" s="229" t="s">
        <v>22</v>
      </c>
      <c r="F1002" s="231">
        <v>34.39</v>
      </c>
      <c r="G1002" s="229" t="s">
        <v>1</v>
      </c>
      <c r="H1002" s="405">
        <f ca="1">INDEX(PRODUTIVIDADES!$M:$M,MATCH(tbAREAS[[#This Row],[TIPO DE ÁREA]],PRODUTIVIDADES!$B:$B,0)+MATCH(tbAREAS[[#This Row],[LOCALIDADE]],PRODUTIVIDADES!$A:$A,0)-3)*tbAREAS[[#This Row],[ÁREA EM M²]]</f>
        <v>13.756</v>
      </c>
      <c r="L1002" s="391"/>
    </row>
    <row r="1003" spans="1:12" hidden="1" x14ac:dyDescent="0.25">
      <c r="A1003" s="228" t="s">
        <v>2</v>
      </c>
      <c r="B1003" s="234" t="s">
        <v>340</v>
      </c>
      <c r="C1003" s="230" t="s">
        <v>386</v>
      </c>
      <c r="D1003" s="230" t="s">
        <v>387</v>
      </c>
      <c r="E1003" s="229" t="s">
        <v>14</v>
      </c>
      <c r="F1003" s="231">
        <v>39.56</v>
      </c>
      <c r="G1003" s="229" t="s">
        <v>1</v>
      </c>
      <c r="H1003" s="405">
        <f ca="1">INDEX(PRODUTIVIDADES!$M:$M,MATCH(tbAREAS[[#This Row],[TIPO DE ÁREA]],PRODUTIVIDADES!$B:$B,0)+MATCH(tbAREAS[[#This Row],[LOCALIDADE]],PRODUTIVIDADES!$A:$A,0)-3)*tbAREAS[[#This Row],[ÁREA EM M²]]</f>
        <v>336.26</v>
      </c>
      <c r="L1003" s="391"/>
    </row>
    <row r="1004" spans="1:12" hidden="1" x14ac:dyDescent="0.25">
      <c r="A1004" s="228" t="s">
        <v>2</v>
      </c>
      <c r="B1004" s="234" t="s">
        <v>340</v>
      </c>
      <c r="C1004" s="230" t="s">
        <v>386</v>
      </c>
      <c r="D1004" s="230" t="s">
        <v>387</v>
      </c>
      <c r="E1004" s="229" t="s">
        <v>21</v>
      </c>
      <c r="F1004" s="231">
        <v>23.85</v>
      </c>
      <c r="G1004" s="229" t="s">
        <v>1</v>
      </c>
      <c r="H1004" s="405">
        <f ca="1">INDEX(PRODUTIVIDADES!$M:$M,MATCH(tbAREAS[[#This Row],[TIPO DE ÁREA]],PRODUTIVIDADES!$B:$B,0)+MATCH(tbAREAS[[#This Row],[LOCALIDADE]],PRODUTIVIDADES!$A:$A,0)-3)*tbAREAS[[#This Row],[ÁREA EM M²]]</f>
        <v>4.0545000000000009</v>
      </c>
      <c r="L1004" s="391"/>
    </row>
    <row r="1005" spans="1:12" hidden="1" x14ac:dyDescent="0.25">
      <c r="A1005" s="228" t="s">
        <v>2</v>
      </c>
      <c r="B1005" s="234" t="s">
        <v>340</v>
      </c>
      <c r="C1005" s="230" t="s">
        <v>386</v>
      </c>
      <c r="D1005" s="230" t="s">
        <v>387</v>
      </c>
      <c r="E1005" s="229" t="s">
        <v>22</v>
      </c>
      <c r="F1005" s="231">
        <v>23.85</v>
      </c>
      <c r="G1005" s="229" t="s">
        <v>1</v>
      </c>
      <c r="H1005" s="405">
        <f ca="1">INDEX(PRODUTIVIDADES!$M:$M,MATCH(tbAREAS[[#This Row],[TIPO DE ÁREA]],PRODUTIVIDADES!$B:$B,0)+MATCH(tbAREAS[[#This Row],[LOCALIDADE]],PRODUTIVIDADES!$A:$A,0)-3)*tbAREAS[[#This Row],[ÁREA EM M²]]</f>
        <v>9.5400000000000009</v>
      </c>
      <c r="L1005" s="391"/>
    </row>
    <row r="1006" spans="1:12" hidden="1" x14ac:dyDescent="0.25">
      <c r="A1006" s="228" t="s">
        <v>2</v>
      </c>
      <c r="B1006" s="234" t="s">
        <v>340</v>
      </c>
      <c r="C1006" s="230" t="s">
        <v>388</v>
      </c>
      <c r="D1006" s="230" t="s">
        <v>389</v>
      </c>
      <c r="E1006" s="229" t="s">
        <v>9</v>
      </c>
      <c r="F1006" s="231">
        <v>76.430000000000007</v>
      </c>
      <c r="G1006" s="229" t="s">
        <v>1</v>
      </c>
      <c r="H1006" s="405">
        <f ca="1">INDEX(PRODUTIVIDADES!$M:$M,MATCH(tbAREAS[[#This Row],[TIPO DE ÁREA]],PRODUTIVIDADES!$B:$B,0)+MATCH(tbAREAS[[#This Row],[LOCALIDADE]],PRODUTIVIDADES!$A:$A,0)-3)*tbAREAS[[#This Row],[ÁREA EM M²]]</f>
        <v>596.154</v>
      </c>
      <c r="L1006" s="391"/>
    </row>
    <row r="1007" spans="1:12" hidden="1" x14ac:dyDescent="0.25">
      <c r="A1007" s="228" t="s">
        <v>2</v>
      </c>
      <c r="B1007" s="234" t="s">
        <v>340</v>
      </c>
      <c r="C1007" s="230" t="s">
        <v>388</v>
      </c>
      <c r="D1007" s="230" t="s">
        <v>389</v>
      </c>
      <c r="E1007" s="229" t="s">
        <v>10</v>
      </c>
      <c r="F1007" s="231">
        <v>141.47999999999999</v>
      </c>
      <c r="G1007" s="229" t="s">
        <v>1</v>
      </c>
      <c r="H1007" s="405">
        <f ca="1">INDEX(PRODUTIVIDADES!$M:$M,MATCH(tbAREAS[[#This Row],[TIPO DE ÁREA]],PRODUTIVIDADES!$B:$B,0)+MATCH(tbAREAS[[#This Row],[LOCALIDADE]],PRODUTIVIDADES!$A:$A,0)-3)*tbAREAS[[#This Row],[ÁREA EM M²]]</f>
        <v>441.41759999999999</v>
      </c>
      <c r="L1007" s="391"/>
    </row>
    <row r="1008" spans="1:12" hidden="1" x14ac:dyDescent="0.25">
      <c r="A1008" s="228" t="s">
        <v>2</v>
      </c>
      <c r="B1008" s="234" t="s">
        <v>340</v>
      </c>
      <c r="C1008" s="230" t="s">
        <v>388</v>
      </c>
      <c r="D1008" s="230" t="s">
        <v>389</v>
      </c>
      <c r="E1008" s="229" t="s">
        <v>14</v>
      </c>
      <c r="F1008" s="231">
        <v>23.72</v>
      </c>
      <c r="G1008" s="229" t="s">
        <v>1</v>
      </c>
      <c r="H1008" s="405">
        <f ca="1">INDEX(PRODUTIVIDADES!$M:$M,MATCH(tbAREAS[[#This Row],[TIPO DE ÁREA]],PRODUTIVIDADES!$B:$B,0)+MATCH(tbAREAS[[#This Row],[LOCALIDADE]],PRODUTIVIDADES!$A:$A,0)-3)*tbAREAS[[#This Row],[ÁREA EM M²]]</f>
        <v>201.62</v>
      </c>
      <c r="L1008" s="391"/>
    </row>
    <row r="1009" spans="1:12" hidden="1" x14ac:dyDescent="0.25">
      <c r="A1009" s="228" t="s">
        <v>2</v>
      </c>
      <c r="B1009" s="234" t="s">
        <v>340</v>
      </c>
      <c r="C1009" s="230" t="s">
        <v>388</v>
      </c>
      <c r="D1009" s="230" t="s">
        <v>389</v>
      </c>
      <c r="E1009" s="229" t="s">
        <v>15</v>
      </c>
      <c r="F1009" s="231">
        <v>463</v>
      </c>
      <c r="G1009" s="229" t="s">
        <v>1</v>
      </c>
      <c r="H1009" s="405">
        <f ca="1">INDEX(PRODUTIVIDADES!$M:$M,MATCH(tbAREAS[[#This Row],[TIPO DE ÁREA]],PRODUTIVIDADES!$B:$B,0)+MATCH(tbAREAS[[#This Row],[LOCALIDADE]],PRODUTIVIDADES!$A:$A,0)-3)*tbAREAS[[#This Row],[ÁREA EM M²]]</f>
        <v>319.46999999999997</v>
      </c>
      <c r="L1009" s="391"/>
    </row>
    <row r="1010" spans="1:12" hidden="1" x14ac:dyDescent="0.25">
      <c r="A1010" s="228" t="s">
        <v>2</v>
      </c>
      <c r="B1010" s="234" t="s">
        <v>340</v>
      </c>
      <c r="C1010" s="230" t="s">
        <v>388</v>
      </c>
      <c r="D1010" s="230" t="s">
        <v>389</v>
      </c>
      <c r="E1010" s="229" t="s">
        <v>18</v>
      </c>
      <c r="F1010" s="231">
        <v>25</v>
      </c>
      <c r="G1010" s="229" t="s">
        <v>1</v>
      </c>
      <c r="H1010" s="405">
        <f ca="1">INDEX(PRODUTIVIDADES!$M:$M,MATCH(tbAREAS[[#This Row],[TIPO DE ÁREA]],PRODUTIVIDADES!$B:$B,0)+MATCH(tbAREAS[[#This Row],[LOCALIDADE]],PRODUTIVIDADES!$A:$A,0)-3)*tbAREAS[[#This Row],[ÁREA EM M²]]</f>
        <v>1133.75</v>
      </c>
      <c r="L1010" s="391"/>
    </row>
    <row r="1011" spans="1:12" hidden="1" x14ac:dyDescent="0.25">
      <c r="A1011" s="228" t="s">
        <v>2</v>
      </c>
      <c r="B1011" s="234" t="s">
        <v>340</v>
      </c>
      <c r="C1011" s="230" t="s">
        <v>388</v>
      </c>
      <c r="D1011" s="230" t="s">
        <v>389</v>
      </c>
      <c r="E1011" s="229" t="s">
        <v>20</v>
      </c>
      <c r="F1011" s="231">
        <v>118</v>
      </c>
      <c r="G1011" s="229" t="s">
        <v>1</v>
      </c>
      <c r="H1011" s="405">
        <f ca="1">INDEX(PRODUTIVIDADES!$M:$M,MATCH(tbAREAS[[#This Row],[TIPO DE ÁREA]],PRODUTIVIDADES!$B:$B,0)+MATCH(tbAREAS[[#This Row],[LOCALIDADE]],PRODUTIVIDADES!$A:$A,0)-3)*tbAREAS[[#This Row],[ÁREA EM M²]]</f>
        <v>92.04</v>
      </c>
      <c r="L1011" s="391"/>
    </row>
    <row r="1012" spans="1:12" hidden="1" x14ac:dyDescent="0.25">
      <c r="A1012" s="228" t="s">
        <v>2</v>
      </c>
      <c r="B1012" s="234" t="s">
        <v>340</v>
      </c>
      <c r="C1012" s="230" t="s">
        <v>388</v>
      </c>
      <c r="D1012" s="230" t="s">
        <v>389</v>
      </c>
      <c r="E1012" s="229" t="s">
        <v>21</v>
      </c>
      <c r="F1012" s="231">
        <v>86.93</v>
      </c>
      <c r="G1012" s="229" t="s">
        <v>1</v>
      </c>
      <c r="H1012" s="405">
        <f ca="1">INDEX(PRODUTIVIDADES!$M:$M,MATCH(tbAREAS[[#This Row],[TIPO DE ÁREA]],PRODUTIVIDADES!$B:$B,0)+MATCH(tbAREAS[[#This Row],[LOCALIDADE]],PRODUTIVIDADES!$A:$A,0)-3)*tbAREAS[[#This Row],[ÁREA EM M²]]</f>
        <v>14.778100000000002</v>
      </c>
      <c r="L1012" s="391"/>
    </row>
    <row r="1013" spans="1:12" hidden="1" x14ac:dyDescent="0.25">
      <c r="A1013" s="228" t="s">
        <v>2</v>
      </c>
      <c r="B1013" s="234" t="s">
        <v>340</v>
      </c>
      <c r="C1013" s="230" t="s">
        <v>388</v>
      </c>
      <c r="D1013" s="230" t="s">
        <v>389</v>
      </c>
      <c r="E1013" s="229" t="s">
        <v>22</v>
      </c>
      <c r="F1013" s="231">
        <v>86.93</v>
      </c>
      <c r="G1013" s="229" t="s">
        <v>1</v>
      </c>
      <c r="H1013" s="405">
        <f ca="1">INDEX(PRODUTIVIDADES!$M:$M,MATCH(tbAREAS[[#This Row],[TIPO DE ÁREA]],PRODUTIVIDADES!$B:$B,0)+MATCH(tbAREAS[[#This Row],[LOCALIDADE]],PRODUTIVIDADES!$A:$A,0)-3)*tbAREAS[[#This Row],[ÁREA EM M²]]</f>
        <v>34.772000000000006</v>
      </c>
      <c r="L1013" s="391"/>
    </row>
    <row r="1014" spans="1:12" hidden="1" x14ac:dyDescent="0.25">
      <c r="A1014" s="228" t="s">
        <v>2</v>
      </c>
      <c r="B1014" s="234" t="s">
        <v>340</v>
      </c>
      <c r="C1014" s="230" t="s">
        <v>388</v>
      </c>
      <c r="D1014" s="230" t="s">
        <v>389</v>
      </c>
      <c r="E1014" s="229" t="s">
        <v>23</v>
      </c>
      <c r="F1014" s="231">
        <v>150</v>
      </c>
      <c r="G1014" s="229" t="s">
        <v>1</v>
      </c>
      <c r="H1014" s="405">
        <f ca="1">INDEX(PRODUTIVIDADES!$M:$M,MATCH(tbAREAS[[#This Row],[TIPO DE ÁREA]],PRODUTIVIDADES!$B:$B,0)+MATCH(tbAREAS[[#This Row],[LOCALIDADE]],PRODUTIVIDADES!$A:$A,0)-3)*tbAREAS[[#This Row],[ÁREA EM M²]]</f>
        <v>60</v>
      </c>
      <c r="L1014" s="391"/>
    </row>
    <row r="1015" spans="1:12" hidden="1" x14ac:dyDescent="0.25">
      <c r="A1015" s="228" t="s">
        <v>33</v>
      </c>
      <c r="B1015" s="234" t="s">
        <v>123</v>
      </c>
      <c r="C1015" s="230" t="s">
        <v>390</v>
      </c>
      <c r="D1015" s="230"/>
      <c r="E1015" s="229" t="s">
        <v>9</v>
      </c>
      <c r="F1015" s="231">
        <v>608.37</v>
      </c>
      <c r="G1015" s="229" t="s">
        <v>1</v>
      </c>
      <c r="H1015" s="405">
        <f ca="1">INDEX(PRODUTIVIDADES!$M:$M,MATCH(tbAREAS[[#This Row],[TIPO DE ÁREA]],PRODUTIVIDADES!$B:$B,0)+MATCH(tbAREAS[[#This Row],[LOCALIDADE]],PRODUTIVIDADES!$A:$A,0)-3)*tbAREAS[[#This Row],[ÁREA EM M²]]</f>
        <v>4702.7001</v>
      </c>
      <c r="L1015" s="391"/>
    </row>
    <row r="1016" spans="1:12" hidden="1" x14ac:dyDescent="0.25">
      <c r="A1016" s="228" t="s">
        <v>33</v>
      </c>
      <c r="B1016" s="234" t="s">
        <v>123</v>
      </c>
      <c r="C1016" s="230" t="s">
        <v>390</v>
      </c>
      <c r="D1016" s="230"/>
      <c r="E1016" s="229" t="s">
        <v>10</v>
      </c>
      <c r="F1016" s="231">
        <v>34.200000000000003</v>
      </c>
      <c r="G1016" s="229" t="s">
        <v>1</v>
      </c>
      <c r="H1016" s="405">
        <f ca="1">INDEX(PRODUTIVIDADES!$M:$M,MATCH(tbAREAS[[#This Row],[TIPO DE ÁREA]],PRODUTIVIDADES!$B:$B,0)+MATCH(tbAREAS[[#This Row],[LOCALIDADE]],PRODUTIVIDADES!$A:$A,0)-3)*tbAREAS[[#This Row],[ÁREA EM M²]]</f>
        <v>96.102000000000004</v>
      </c>
      <c r="L1016" s="391"/>
    </row>
    <row r="1017" spans="1:12" hidden="1" x14ac:dyDescent="0.25">
      <c r="A1017" s="228" t="s">
        <v>33</v>
      </c>
      <c r="B1017" s="234" t="s">
        <v>123</v>
      </c>
      <c r="C1017" s="230" t="s">
        <v>390</v>
      </c>
      <c r="D1017" s="230"/>
      <c r="E1017" s="229" t="s">
        <v>14</v>
      </c>
      <c r="F1017" s="231">
        <v>51.3</v>
      </c>
      <c r="G1017" s="229" t="s">
        <v>1</v>
      </c>
      <c r="H1017" s="405">
        <f ca="1">INDEX(PRODUTIVIDADES!$M:$M,MATCH(tbAREAS[[#This Row],[TIPO DE ÁREA]],PRODUTIVIDADES!$B:$B,0)+MATCH(tbAREAS[[#This Row],[LOCALIDADE]],PRODUTIVIDADES!$A:$A,0)-3)*tbAREAS[[#This Row],[ÁREA EM M²]]</f>
        <v>392.95799999999997</v>
      </c>
      <c r="L1017" s="391"/>
    </row>
    <row r="1018" spans="1:12" hidden="1" x14ac:dyDescent="0.25">
      <c r="A1018" s="228" t="s">
        <v>33</v>
      </c>
      <c r="B1018" s="234" t="s">
        <v>123</v>
      </c>
      <c r="C1018" s="230" t="s">
        <v>390</v>
      </c>
      <c r="D1018" s="230"/>
      <c r="E1018" s="229" t="s">
        <v>15</v>
      </c>
      <c r="F1018" s="231">
        <v>7.2</v>
      </c>
      <c r="G1018" s="229" t="s">
        <v>1</v>
      </c>
      <c r="H1018" s="405">
        <f ca="1">INDEX(PRODUTIVIDADES!$M:$M,MATCH(tbAREAS[[#This Row],[TIPO DE ÁREA]],PRODUTIVIDADES!$B:$B,0)+MATCH(tbAREAS[[#This Row],[LOCALIDADE]],PRODUTIVIDADES!$A:$A,0)-3)*tbAREAS[[#This Row],[ÁREA EM M²]]</f>
        <v>4.4640000000000004</v>
      </c>
      <c r="L1018" s="391"/>
    </row>
    <row r="1019" spans="1:12" hidden="1" x14ac:dyDescent="0.25">
      <c r="A1019" s="228" t="s">
        <v>33</v>
      </c>
      <c r="B1019" s="234" t="s">
        <v>123</v>
      </c>
      <c r="C1019" s="230" t="s">
        <v>390</v>
      </c>
      <c r="D1019" s="230"/>
      <c r="E1019" s="229" t="s">
        <v>17</v>
      </c>
      <c r="F1019" s="231">
        <v>352.12</v>
      </c>
      <c r="G1019" s="229" t="s">
        <v>1</v>
      </c>
      <c r="H1019" s="405">
        <f ca="1">INDEX(PRODUTIVIDADES!$M:$M,MATCH(tbAREAS[[#This Row],[TIPO DE ÁREA]],PRODUTIVIDADES!$B:$B,0)+MATCH(tbAREAS[[#This Row],[LOCALIDADE]],PRODUTIVIDADES!$A:$A,0)-3)*tbAREAS[[#This Row],[ÁREA EM M²]]</f>
        <v>739.452</v>
      </c>
      <c r="L1019" s="391"/>
    </row>
    <row r="1020" spans="1:12" hidden="1" x14ac:dyDescent="0.25">
      <c r="A1020" s="228" t="s">
        <v>33</v>
      </c>
      <c r="B1020" s="234" t="s">
        <v>123</v>
      </c>
      <c r="C1020" s="230" t="s">
        <v>390</v>
      </c>
      <c r="D1020" s="230"/>
      <c r="E1020" s="229" t="s">
        <v>18</v>
      </c>
      <c r="F1020" s="231">
        <v>63</v>
      </c>
      <c r="G1020" s="229" t="s">
        <v>1</v>
      </c>
      <c r="H1020" s="405">
        <f ca="1">INDEX(PRODUTIVIDADES!$M:$M,MATCH(tbAREAS[[#This Row],[TIPO DE ÁREA]],PRODUTIVIDADES!$B:$B,0)+MATCH(tbAREAS[[#This Row],[LOCALIDADE]],PRODUTIVIDADES!$A:$A,0)-3)*tbAREAS[[#This Row],[ÁREA EM M²]]</f>
        <v>2573.5500000000002</v>
      </c>
      <c r="L1020" s="391"/>
    </row>
    <row r="1021" spans="1:12" hidden="1" x14ac:dyDescent="0.25">
      <c r="A1021" s="228" t="s">
        <v>33</v>
      </c>
      <c r="B1021" s="234" t="s">
        <v>123</v>
      </c>
      <c r="C1021" s="230" t="s">
        <v>390</v>
      </c>
      <c r="D1021" s="230"/>
      <c r="E1021" s="229" t="s">
        <v>20</v>
      </c>
      <c r="F1021" s="231">
        <v>356.1</v>
      </c>
      <c r="G1021" s="229" t="s">
        <v>1</v>
      </c>
      <c r="H1021" s="405">
        <f ca="1">INDEX(PRODUTIVIDADES!$M:$M,MATCH(tbAREAS[[#This Row],[TIPO DE ÁREA]],PRODUTIVIDADES!$B:$B,0)+MATCH(tbAREAS[[#This Row],[LOCALIDADE]],PRODUTIVIDADES!$A:$A,0)-3)*tbAREAS[[#This Row],[ÁREA EM M²]]</f>
        <v>249.27</v>
      </c>
      <c r="L1021" s="391"/>
    </row>
    <row r="1022" spans="1:12" hidden="1" x14ac:dyDescent="0.25">
      <c r="A1022" s="228" t="s">
        <v>33</v>
      </c>
      <c r="B1022" s="234" t="s">
        <v>123</v>
      </c>
      <c r="C1022" s="230" t="s">
        <v>390</v>
      </c>
      <c r="D1022" s="230"/>
      <c r="E1022" s="229" t="s">
        <v>21</v>
      </c>
      <c r="F1022" s="231">
        <v>278.23</v>
      </c>
      <c r="G1022" s="229" t="s">
        <v>1</v>
      </c>
      <c r="H1022" s="405">
        <f ca="1">INDEX(PRODUTIVIDADES!$M:$M,MATCH(tbAREAS[[#This Row],[TIPO DE ÁREA]],PRODUTIVIDADES!$B:$B,0)+MATCH(tbAREAS[[#This Row],[LOCALIDADE]],PRODUTIVIDADES!$A:$A,0)-3)*tbAREAS[[#This Row],[ÁREA EM M²]]</f>
        <v>47.29910000000001</v>
      </c>
      <c r="L1022" s="391"/>
    </row>
    <row r="1023" spans="1:12" hidden="1" x14ac:dyDescent="0.25">
      <c r="A1023" s="228" t="s">
        <v>33</v>
      </c>
      <c r="B1023" s="234" t="s">
        <v>123</v>
      </c>
      <c r="C1023" s="230" t="s">
        <v>390</v>
      </c>
      <c r="D1023" s="230"/>
      <c r="E1023" s="229" t="s">
        <v>22</v>
      </c>
      <c r="F1023" s="231">
        <v>278.23</v>
      </c>
      <c r="G1023" s="229" t="s">
        <v>1</v>
      </c>
      <c r="H1023" s="405">
        <f ca="1">INDEX(PRODUTIVIDADES!$M:$M,MATCH(tbAREAS[[#This Row],[TIPO DE ÁREA]],PRODUTIVIDADES!$B:$B,0)+MATCH(tbAREAS[[#This Row],[LOCALIDADE]],PRODUTIVIDADES!$A:$A,0)-3)*tbAREAS[[#This Row],[ÁREA EM M²]]</f>
        <v>111.29200000000002</v>
      </c>
      <c r="L1023" s="391"/>
    </row>
    <row r="1024" spans="1:12" hidden="1" x14ac:dyDescent="0.25">
      <c r="A1024" s="228" t="s">
        <v>33</v>
      </c>
      <c r="B1024" s="234" t="s">
        <v>123</v>
      </c>
      <c r="C1024" s="230" t="s">
        <v>391</v>
      </c>
      <c r="D1024" s="230"/>
      <c r="E1024" s="229" t="s">
        <v>9</v>
      </c>
      <c r="F1024" s="231">
        <v>608.37</v>
      </c>
      <c r="G1024" s="229" t="s">
        <v>1</v>
      </c>
      <c r="H1024" s="405">
        <f ca="1">INDEX(PRODUTIVIDADES!$M:$M,MATCH(tbAREAS[[#This Row],[TIPO DE ÁREA]],PRODUTIVIDADES!$B:$B,0)+MATCH(tbAREAS[[#This Row],[LOCALIDADE]],PRODUTIVIDADES!$A:$A,0)-3)*tbAREAS[[#This Row],[ÁREA EM M²]]</f>
        <v>4702.7001</v>
      </c>
      <c r="L1024" s="391"/>
    </row>
    <row r="1025" spans="1:12" hidden="1" x14ac:dyDescent="0.25">
      <c r="A1025" s="228" t="s">
        <v>33</v>
      </c>
      <c r="B1025" s="234" t="s">
        <v>123</v>
      </c>
      <c r="C1025" s="230" t="s">
        <v>391</v>
      </c>
      <c r="D1025" s="230"/>
      <c r="E1025" s="229" t="s">
        <v>10</v>
      </c>
      <c r="F1025" s="231">
        <v>51.3</v>
      </c>
      <c r="G1025" s="229" t="s">
        <v>1</v>
      </c>
      <c r="H1025" s="405">
        <f ca="1">INDEX(PRODUTIVIDADES!$M:$M,MATCH(tbAREAS[[#This Row],[TIPO DE ÁREA]],PRODUTIVIDADES!$B:$B,0)+MATCH(tbAREAS[[#This Row],[LOCALIDADE]],PRODUTIVIDADES!$A:$A,0)-3)*tbAREAS[[#This Row],[ÁREA EM M²]]</f>
        <v>144.15299999999999</v>
      </c>
      <c r="L1025" s="391"/>
    </row>
    <row r="1026" spans="1:12" hidden="1" x14ac:dyDescent="0.25">
      <c r="A1026" s="228" t="s">
        <v>33</v>
      </c>
      <c r="B1026" s="234" t="s">
        <v>123</v>
      </c>
      <c r="C1026" s="230" t="s">
        <v>391</v>
      </c>
      <c r="D1026" s="230"/>
      <c r="E1026" s="229" t="s">
        <v>14</v>
      </c>
      <c r="F1026" s="231">
        <v>34.200000000000003</v>
      </c>
      <c r="G1026" s="229" t="s">
        <v>1</v>
      </c>
      <c r="H1026" s="405">
        <f ca="1">INDEX(PRODUTIVIDADES!$M:$M,MATCH(tbAREAS[[#This Row],[TIPO DE ÁREA]],PRODUTIVIDADES!$B:$B,0)+MATCH(tbAREAS[[#This Row],[LOCALIDADE]],PRODUTIVIDADES!$A:$A,0)-3)*tbAREAS[[#This Row],[ÁREA EM M²]]</f>
        <v>261.97200000000004</v>
      </c>
      <c r="L1026" s="391"/>
    </row>
    <row r="1027" spans="1:12" hidden="1" x14ac:dyDescent="0.25">
      <c r="A1027" s="228" t="s">
        <v>33</v>
      </c>
      <c r="B1027" s="234" t="s">
        <v>123</v>
      </c>
      <c r="C1027" s="230" t="s">
        <v>391</v>
      </c>
      <c r="D1027" s="230"/>
      <c r="E1027" s="229" t="s">
        <v>15</v>
      </c>
      <c r="F1027" s="231">
        <v>7.2</v>
      </c>
      <c r="G1027" s="229" t="s">
        <v>1</v>
      </c>
      <c r="H1027" s="405">
        <f ca="1">INDEX(PRODUTIVIDADES!$M:$M,MATCH(tbAREAS[[#This Row],[TIPO DE ÁREA]],PRODUTIVIDADES!$B:$B,0)+MATCH(tbAREAS[[#This Row],[LOCALIDADE]],PRODUTIVIDADES!$A:$A,0)-3)*tbAREAS[[#This Row],[ÁREA EM M²]]</f>
        <v>4.4640000000000004</v>
      </c>
      <c r="L1027" s="391"/>
    </row>
    <row r="1028" spans="1:12" hidden="1" x14ac:dyDescent="0.25">
      <c r="A1028" s="228" t="s">
        <v>33</v>
      </c>
      <c r="B1028" s="234" t="s">
        <v>123</v>
      </c>
      <c r="C1028" s="230" t="s">
        <v>391</v>
      </c>
      <c r="D1028" s="230"/>
      <c r="E1028" s="229" t="s">
        <v>17</v>
      </c>
      <c r="F1028" s="231">
        <v>352.12</v>
      </c>
      <c r="G1028" s="229" t="s">
        <v>1</v>
      </c>
      <c r="H1028" s="405">
        <f ca="1">INDEX(PRODUTIVIDADES!$M:$M,MATCH(tbAREAS[[#This Row],[TIPO DE ÁREA]],PRODUTIVIDADES!$B:$B,0)+MATCH(tbAREAS[[#This Row],[LOCALIDADE]],PRODUTIVIDADES!$A:$A,0)-3)*tbAREAS[[#This Row],[ÁREA EM M²]]</f>
        <v>739.452</v>
      </c>
      <c r="L1028" s="391"/>
    </row>
    <row r="1029" spans="1:12" hidden="1" x14ac:dyDescent="0.25">
      <c r="A1029" s="228" t="s">
        <v>33</v>
      </c>
      <c r="B1029" s="234" t="s">
        <v>123</v>
      </c>
      <c r="C1029" s="230" t="s">
        <v>391</v>
      </c>
      <c r="D1029" s="230"/>
      <c r="E1029" s="229" t="s">
        <v>18</v>
      </c>
      <c r="F1029" s="231">
        <v>63</v>
      </c>
      <c r="G1029" s="229" t="s">
        <v>1</v>
      </c>
      <c r="H1029" s="405">
        <f ca="1">INDEX(PRODUTIVIDADES!$M:$M,MATCH(tbAREAS[[#This Row],[TIPO DE ÁREA]],PRODUTIVIDADES!$B:$B,0)+MATCH(tbAREAS[[#This Row],[LOCALIDADE]],PRODUTIVIDADES!$A:$A,0)-3)*tbAREAS[[#This Row],[ÁREA EM M²]]</f>
        <v>2573.5500000000002</v>
      </c>
      <c r="L1029" s="391"/>
    </row>
    <row r="1030" spans="1:12" hidden="1" x14ac:dyDescent="0.25">
      <c r="A1030" s="228" t="s">
        <v>33</v>
      </c>
      <c r="B1030" s="234" t="s">
        <v>123</v>
      </c>
      <c r="C1030" s="230" t="s">
        <v>391</v>
      </c>
      <c r="D1030" s="230"/>
      <c r="E1030" s="229" t="s">
        <v>20</v>
      </c>
      <c r="F1030" s="231">
        <v>317.08</v>
      </c>
      <c r="G1030" s="229" t="s">
        <v>1</v>
      </c>
      <c r="H1030" s="405">
        <f ca="1">INDEX(PRODUTIVIDADES!$M:$M,MATCH(tbAREAS[[#This Row],[TIPO DE ÁREA]],PRODUTIVIDADES!$B:$B,0)+MATCH(tbAREAS[[#This Row],[LOCALIDADE]],PRODUTIVIDADES!$A:$A,0)-3)*tbAREAS[[#This Row],[ÁREA EM M²]]</f>
        <v>221.95599999999999</v>
      </c>
      <c r="L1030" s="391"/>
    </row>
    <row r="1031" spans="1:12" hidden="1" x14ac:dyDescent="0.25">
      <c r="A1031" s="228" t="s">
        <v>33</v>
      </c>
      <c r="B1031" s="234" t="s">
        <v>123</v>
      </c>
      <c r="C1031" s="230" t="s">
        <v>391</v>
      </c>
      <c r="D1031" s="230"/>
      <c r="E1031" s="229" t="s">
        <v>21</v>
      </c>
      <c r="F1031" s="231">
        <v>278.23</v>
      </c>
      <c r="G1031" s="229" t="s">
        <v>1</v>
      </c>
      <c r="H1031" s="405">
        <f ca="1">INDEX(PRODUTIVIDADES!$M:$M,MATCH(tbAREAS[[#This Row],[TIPO DE ÁREA]],PRODUTIVIDADES!$B:$B,0)+MATCH(tbAREAS[[#This Row],[LOCALIDADE]],PRODUTIVIDADES!$A:$A,0)-3)*tbAREAS[[#This Row],[ÁREA EM M²]]</f>
        <v>47.29910000000001</v>
      </c>
      <c r="L1031" s="391"/>
    </row>
    <row r="1032" spans="1:12" hidden="1" x14ac:dyDescent="0.25">
      <c r="A1032" s="228" t="s">
        <v>33</v>
      </c>
      <c r="B1032" s="234" t="s">
        <v>123</v>
      </c>
      <c r="C1032" s="230" t="s">
        <v>391</v>
      </c>
      <c r="D1032" s="230"/>
      <c r="E1032" s="229" t="s">
        <v>22</v>
      </c>
      <c r="F1032" s="231">
        <v>278.23</v>
      </c>
      <c r="G1032" s="229" t="s">
        <v>1</v>
      </c>
      <c r="H1032" s="405">
        <f ca="1">INDEX(PRODUTIVIDADES!$M:$M,MATCH(tbAREAS[[#This Row],[TIPO DE ÁREA]],PRODUTIVIDADES!$B:$B,0)+MATCH(tbAREAS[[#This Row],[LOCALIDADE]],PRODUTIVIDADES!$A:$A,0)-3)*tbAREAS[[#This Row],[ÁREA EM M²]]</f>
        <v>111.29200000000002</v>
      </c>
      <c r="L1032" s="391"/>
    </row>
    <row r="1033" spans="1:12" hidden="1" x14ac:dyDescent="0.25">
      <c r="A1033" s="228" t="s">
        <v>33</v>
      </c>
      <c r="B1033" s="234" t="s">
        <v>123</v>
      </c>
      <c r="C1033" s="230" t="s">
        <v>392</v>
      </c>
      <c r="D1033" s="230"/>
      <c r="E1033" s="229" t="s">
        <v>10</v>
      </c>
      <c r="F1033" s="231">
        <v>86.73</v>
      </c>
      <c r="G1033" s="229" t="s">
        <v>1</v>
      </c>
      <c r="H1033" s="405">
        <f ca="1">INDEX(PRODUTIVIDADES!$M:$M,MATCH(tbAREAS[[#This Row],[TIPO DE ÁREA]],PRODUTIVIDADES!$B:$B,0)+MATCH(tbAREAS[[#This Row],[LOCALIDADE]],PRODUTIVIDADES!$A:$A,0)-3)*tbAREAS[[#This Row],[ÁREA EM M²]]</f>
        <v>243.71130000000002</v>
      </c>
      <c r="L1033" s="391"/>
    </row>
    <row r="1034" spans="1:12" hidden="1" x14ac:dyDescent="0.25">
      <c r="A1034" s="228" t="s">
        <v>33</v>
      </c>
      <c r="B1034" s="234" t="s">
        <v>123</v>
      </c>
      <c r="C1034" s="230" t="s">
        <v>392</v>
      </c>
      <c r="D1034" s="230"/>
      <c r="E1034" s="229" t="s">
        <v>18</v>
      </c>
      <c r="F1034" s="231">
        <v>2.5499999999999998</v>
      </c>
      <c r="G1034" s="229" t="s">
        <v>1</v>
      </c>
      <c r="H1034" s="405">
        <f ca="1">INDEX(PRODUTIVIDADES!$M:$M,MATCH(tbAREAS[[#This Row],[TIPO DE ÁREA]],PRODUTIVIDADES!$B:$B,0)+MATCH(tbAREAS[[#This Row],[LOCALIDADE]],PRODUTIVIDADES!$A:$A,0)-3)*tbAREAS[[#This Row],[ÁREA EM M²]]</f>
        <v>104.16749999999999</v>
      </c>
      <c r="L1034" s="391"/>
    </row>
    <row r="1035" spans="1:12" hidden="1" x14ac:dyDescent="0.25">
      <c r="A1035" s="228" t="s">
        <v>33</v>
      </c>
      <c r="B1035" s="234" t="s">
        <v>123</v>
      </c>
      <c r="C1035" s="230" t="s">
        <v>392</v>
      </c>
      <c r="D1035" s="230"/>
      <c r="E1035" s="229" t="s">
        <v>20</v>
      </c>
      <c r="F1035" s="231">
        <v>4.74</v>
      </c>
      <c r="G1035" s="229" t="s">
        <v>1</v>
      </c>
      <c r="H1035" s="405">
        <f ca="1">INDEX(PRODUTIVIDADES!$M:$M,MATCH(tbAREAS[[#This Row],[TIPO DE ÁREA]],PRODUTIVIDADES!$B:$B,0)+MATCH(tbAREAS[[#This Row],[LOCALIDADE]],PRODUTIVIDADES!$A:$A,0)-3)*tbAREAS[[#This Row],[ÁREA EM M²]]</f>
        <v>3.3180000000000001</v>
      </c>
      <c r="L1035" s="391"/>
    </row>
    <row r="1036" spans="1:12" hidden="1" x14ac:dyDescent="0.25">
      <c r="A1036" s="228" t="s">
        <v>33</v>
      </c>
      <c r="B1036" s="234" t="s">
        <v>123</v>
      </c>
      <c r="C1036" s="230" t="s">
        <v>392</v>
      </c>
      <c r="D1036" s="230"/>
      <c r="E1036" s="229" t="s">
        <v>21</v>
      </c>
      <c r="F1036" s="231">
        <v>92.55</v>
      </c>
      <c r="G1036" s="229" t="s">
        <v>1</v>
      </c>
      <c r="H1036" s="405">
        <f ca="1">INDEX(PRODUTIVIDADES!$M:$M,MATCH(tbAREAS[[#This Row],[TIPO DE ÁREA]],PRODUTIVIDADES!$B:$B,0)+MATCH(tbAREAS[[#This Row],[LOCALIDADE]],PRODUTIVIDADES!$A:$A,0)-3)*tbAREAS[[#This Row],[ÁREA EM M²]]</f>
        <v>15.733500000000001</v>
      </c>
      <c r="L1036" s="391"/>
    </row>
    <row r="1037" spans="1:12" hidden="1" x14ac:dyDescent="0.25">
      <c r="A1037" s="228" t="s">
        <v>33</v>
      </c>
      <c r="B1037" s="234" t="s">
        <v>123</v>
      </c>
      <c r="C1037" s="230" t="s">
        <v>392</v>
      </c>
      <c r="D1037" s="230"/>
      <c r="E1037" s="229" t="s">
        <v>22</v>
      </c>
      <c r="F1037" s="231">
        <v>92.55</v>
      </c>
      <c r="G1037" s="229" t="s">
        <v>1</v>
      </c>
      <c r="H1037" s="405">
        <f ca="1">INDEX(PRODUTIVIDADES!$M:$M,MATCH(tbAREAS[[#This Row],[TIPO DE ÁREA]],PRODUTIVIDADES!$B:$B,0)+MATCH(tbAREAS[[#This Row],[LOCALIDADE]],PRODUTIVIDADES!$A:$A,0)-3)*tbAREAS[[#This Row],[ÁREA EM M²]]</f>
        <v>37.020000000000003</v>
      </c>
      <c r="L1037" s="391"/>
    </row>
    <row r="1038" spans="1:12" hidden="1" x14ac:dyDescent="0.25">
      <c r="A1038" s="228" t="s">
        <v>33</v>
      </c>
      <c r="B1038" s="234" t="s">
        <v>123</v>
      </c>
      <c r="C1038" s="230" t="s">
        <v>393</v>
      </c>
      <c r="D1038" s="230"/>
      <c r="E1038" s="229" t="s">
        <v>9</v>
      </c>
      <c r="F1038" s="231">
        <v>184</v>
      </c>
      <c r="G1038" s="229" t="s">
        <v>1</v>
      </c>
      <c r="H1038" s="405">
        <f ca="1">INDEX(PRODUTIVIDADES!$M:$M,MATCH(tbAREAS[[#This Row],[TIPO DE ÁREA]],PRODUTIVIDADES!$B:$B,0)+MATCH(tbAREAS[[#This Row],[LOCALIDADE]],PRODUTIVIDADES!$A:$A,0)-3)*tbAREAS[[#This Row],[ÁREA EM M²]]</f>
        <v>1422.3200000000002</v>
      </c>
      <c r="L1038" s="391"/>
    </row>
    <row r="1039" spans="1:12" hidden="1" x14ac:dyDescent="0.25">
      <c r="A1039" s="228" t="s">
        <v>33</v>
      </c>
      <c r="B1039" s="234" t="s">
        <v>123</v>
      </c>
      <c r="C1039" s="230" t="s">
        <v>393</v>
      </c>
      <c r="D1039" s="230"/>
      <c r="E1039" s="229" t="s">
        <v>10</v>
      </c>
      <c r="F1039" s="231">
        <v>300.74</v>
      </c>
      <c r="G1039" s="229" t="s">
        <v>1</v>
      </c>
      <c r="H1039" s="405">
        <f ca="1">INDEX(PRODUTIVIDADES!$M:$M,MATCH(tbAREAS[[#This Row],[TIPO DE ÁREA]],PRODUTIVIDADES!$B:$B,0)+MATCH(tbAREAS[[#This Row],[LOCALIDADE]],PRODUTIVIDADES!$A:$A,0)-3)*tbAREAS[[#This Row],[ÁREA EM M²]]</f>
        <v>845.07940000000008</v>
      </c>
      <c r="L1039" s="391"/>
    </row>
    <row r="1040" spans="1:12" hidden="1" x14ac:dyDescent="0.25">
      <c r="A1040" s="228" t="s">
        <v>33</v>
      </c>
      <c r="B1040" s="234" t="s">
        <v>123</v>
      </c>
      <c r="C1040" s="230" t="s">
        <v>393</v>
      </c>
      <c r="D1040" s="230"/>
      <c r="E1040" s="229" t="s">
        <v>15</v>
      </c>
      <c r="F1040" s="231">
        <v>5.76</v>
      </c>
      <c r="G1040" s="229" t="s">
        <v>1</v>
      </c>
      <c r="H1040" s="405">
        <f ca="1">INDEX(PRODUTIVIDADES!$M:$M,MATCH(tbAREAS[[#This Row],[TIPO DE ÁREA]],PRODUTIVIDADES!$B:$B,0)+MATCH(tbAREAS[[#This Row],[LOCALIDADE]],PRODUTIVIDADES!$A:$A,0)-3)*tbAREAS[[#This Row],[ÁREA EM M²]]</f>
        <v>3.5711999999999997</v>
      </c>
      <c r="L1040" s="391"/>
    </row>
    <row r="1041" spans="1:12" hidden="1" x14ac:dyDescent="0.25">
      <c r="A1041" s="228" t="s">
        <v>33</v>
      </c>
      <c r="B1041" s="234" t="s">
        <v>123</v>
      </c>
      <c r="C1041" s="230" t="s">
        <v>393</v>
      </c>
      <c r="D1041" s="230"/>
      <c r="E1041" s="229" t="s">
        <v>17</v>
      </c>
      <c r="F1041" s="231">
        <v>301.66000000000003</v>
      </c>
      <c r="G1041" s="229" t="s">
        <v>1</v>
      </c>
      <c r="H1041" s="405">
        <f ca="1">INDEX(PRODUTIVIDADES!$M:$M,MATCH(tbAREAS[[#This Row],[TIPO DE ÁREA]],PRODUTIVIDADES!$B:$B,0)+MATCH(tbAREAS[[#This Row],[LOCALIDADE]],PRODUTIVIDADES!$A:$A,0)-3)*tbAREAS[[#This Row],[ÁREA EM M²]]</f>
        <v>633.4860000000001</v>
      </c>
      <c r="L1041" s="391"/>
    </row>
    <row r="1042" spans="1:12" hidden="1" x14ac:dyDescent="0.25">
      <c r="A1042" s="228" t="s">
        <v>33</v>
      </c>
      <c r="B1042" s="234" t="s">
        <v>123</v>
      </c>
      <c r="C1042" s="230" t="s">
        <v>393</v>
      </c>
      <c r="D1042" s="230"/>
      <c r="E1042" s="229" t="s">
        <v>18</v>
      </c>
      <c r="F1042" s="231">
        <v>67.84</v>
      </c>
      <c r="G1042" s="229" t="s">
        <v>1</v>
      </c>
      <c r="H1042" s="405">
        <f ca="1">INDEX(PRODUTIVIDADES!$M:$M,MATCH(tbAREAS[[#This Row],[TIPO DE ÁREA]],PRODUTIVIDADES!$B:$B,0)+MATCH(tbAREAS[[#This Row],[LOCALIDADE]],PRODUTIVIDADES!$A:$A,0)-3)*tbAREAS[[#This Row],[ÁREA EM M²]]</f>
        <v>2771.2640000000001</v>
      </c>
      <c r="L1042" s="391"/>
    </row>
    <row r="1043" spans="1:12" hidden="1" x14ac:dyDescent="0.25">
      <c r="A1043" s="228" t="s">
        <v>33</v>
      </c>
      <c r="B1043" s="234" t="s">
        <v>123</v>
      </c>
      <c r="C1043" s="230" t="s">
        <v>393</v>
      </c>
      <c r="D1043" s="230"/>
      <c r="E1043" s="229" t="s">
        <v>20</v>
      </c>
      <c r="F1043" s="231">
        <v>386.12</v>
      </c>
      <c r="G1043" s="229" t="s">
        <v>1</v>
      </c>
      <c r="H1043" s="405">
        <f ca="1">INDEX(PRODUTIVIDADES!$M:$M,MATCH(tbAREAS[[#This Row],[TIPO DE ÁREA]],PRODUTIVIDADES!$B:$B,0)+MATCH(tbAREAS[[#This Row],[LOCALIDADE]],PRODUTIVIDADES!$A:$A,0)-3)*tbAREAS[[#This Row],[ÁREA EM M²]]</f>
        <v>270.28399999999999</v>
      </c>
      <c r="L1043" s="391"/>
    </row>
    <row r="1044" spans="1:12" hidden="1" x14ac:dyDescent="0.25">
      <c r="A1044" s="228" t="s">
        <v>33</v>
      </c>
      <c r="B1044" s="234" t="s">
        <v>123</v>
      </c>
      <c r="C1044" s="230" t="s">
        <v>393</v>
      </c>
      <c r="D1044" s="230"/>
      <c r="E1044" s="229" t="s">
        <v>21</v>
      </c>
      <c r="F1044" s="231">
        <v>115.3</v>
      </c>
      <c r="G1044" s="229" t="s">
        <v>1</v>
      </c>
      <c r="H1044" s="405">
        <f ca="1">INDEX(PRODUTIVIDADES!$M:$M,MATCH(tbAREAS[[#This Row],[TIPO DE ÁREA]],PRODUTIVIDADES!$B:$B,0)+MATCH(tbAREAS[[#This Row],[LOCALIDADE]],PRODUTIVIDADES!$A:$A,0)-3)*tbAREAS[[#This Row],[ÁREA EM M²]]</f>
        <v>19.601000000000003</v>
      </c>
      <c r="L1044" s="391"/>
    </row>
    <row r="1045" spans="1:12" hidden="1" x14ac:dyDescent="0.25">
      <c r="A1045" s="228" t="s">
        <v>33</v>
      </c>
      <c r="B1045" s="234" t="s">
        <v>123</v>
      </c>
      <c r="C1045" s="230" t="s">
        <v>393</v>
      </c>
      <c r="D1045" s="230"/>
      <c r="E1045" s="229" t="s">
        <v>22</v>
      </c>
      <c r="F1045" s="231">
        <v>115.3</v>
      </c>
      <c r="G1045" s="229" t="s">
        <v>1</v>
      </c>
      <c r="H1045" s="405">
        <f ca="1">INDEX(PRODUTIVIDADES!$M:$M,MATCH(tbAREAS[[#This Row],[TIPO DE ÁREA]],PRODUTIVIDADES!$B:$B,0)+MATCH(tbAREAS[[#This Row],[LOCALIDADE]],PRODUTIVIDADES!$A:$A,0)-3)*tbAREAS[[#This Row],[ÁREA EM M²]]</f>
        <v>46.120000000000005</v>
      </c>
      <c r="L1045" s="391"/>
    </row>
    <row r="1046" spans="1:12" hidden="1" x14ac:dyDescent="0.25">
      <c r="A1046" s="228" t="s">
        <v>33</v>
      </c>
      <c r="B1046" s="234" t="s">
        <v>123</v>
      </c>
      <c r="C1046" s="230" t="s">
        <v>394</v>
      </c>
      <c r="D1046" s="230"/>
      <c r="E1046" s="229" t="s">
        <v>10</v>
      </c>
      <c r="F1046" s="231">
        <v>300.74</v>
      </c>
      <c r="G1046" s="229" t="s">
        <v>1</v>
      </c>
      <c r="H1046" s="405">
        <f ca="1">INDEX(PRODUTIVIDADES!$M:$M,MATCH(tbAREAS[[#This Row],[TIPO DE ÁREA]],PRODUTIVIDADES!$B:$B,0)+MATCH(tbAREAS[[#This Row],[LOCALIDADE]],PRODUTIVIDADES!$A:$A,0)-3)*tbAREAS[[#This Row],[ÁREA EM M²]]</f>
        <v>845.07940000000008</v>
      </c>
      <c r="L1046" s="391"/>
    </row>
    <row r="1047" spans="1:12" hidden="1" x14ac:dyDescent="0.25">
      <c r="A1047" s="228" t="s">
        <v>33</v>
      </c>
      <c r="B1047" s="234" t="s">
        <v>123</v>
      </c>
      <c r="C1047" s="230" t="s">
        <v>394</v>
      </c>
      <c r="D1047" s="230"/>
      <c r="E1047" s="229" t="s">
        <v>14</v>
      </c>
      <c r="F1047" s="231">
        <v>184</v>
      </c>
      <c r="G1047" s="229" t="s">
        <v>1</v>
      </c>
      <c r="H1047" s="405">
        <f ca="1">INDEX(PRODUTIVIDADES!$M:$M,MATCH(tbAREAS[[#This Row],[TIPO DE ÁREA]],PRODUTIVIDADES!$B:$B,0)+MATCH(tbAREAS[[#This Row],[LOCALIDADE]],PRODUTIVIDADES!$A:$A,0)-3)*tbAREAS[[#This Row],[ÁREA EM M²]]</f>
        <v>1409.44</v>
      </c>
      <c r="L1047" s="391"/>
    </row>
    <row r="1048" spans="1:12" hidden="1" x14ac:dyDescent="0.25">
      <c r="A1048" s="228" t="s">
        <v>33</v>
      </c>
      <c r="B1048" s="234" t="s">
        <v>123</v>
      </c>
      <c r="C1048" s="230" t="s">
        <v>394</v>
      </c>
      <c r="D1048" s="230"/>
      <c r="E1048" s="229" t="s">
        <v>15</v>
      </c>
      <c r="F1048" s="231">
        <v>5.76</v>
      </c>
      <c r="G1048" s="229" t="s">
        <v>1</v>
      </c>
      <c r="H1048" s="405">
        <f ca="1">INDEX(PRODUTIVIDADES!$M:$M,MATCH(tbAREAS[[#This Row],[TIPO DE ÁREA]],PRODUTIVIDADES!$B:$B,0)+MATCH(tbAREAS[[#This Row],[LOCALIDADE]],PRODUTIVIDADES!$A:$A,0)-3)*tbAREAS[[#This Row],[ÁREA EM M²]]</f>
        <v>3.5711999999999997</v>
      </c>
      <c r="L1048" s="391"/>
    </row>
    <row r="1049" spans="1:12" hidden="1" x14ac:dyDescent="0.25">
      <c r="A1049" s="228" t="s">
        <v>33</v>
      </c>
      <c r="B1049" s="234" t="s">
        <v>123</v>
      </c>
      <c r="C1049" s="230" t="s">
        <v>394</v>
      </c>
      <c r="D1049" s="230"/>
      <c r="E1049" s="229" t="s">
        <v>17</v>
      </c>
      <c r="F1049" s="231">
        <v>301.66000000000003</v>
      </c>
      <c r="G1049" s="229" t="s">
        <v>1</v>
      </c>
      <c r="H1049" s="405">
        <f ca="1">INDEX(PRODUTIVIDADES!$M:$M,MATCH(tbAREAS[[#This Row],[TIPO DE ÁREA]],PRODUTIVIDADES!$B:$B,0)+MATCH(tbAREAS[[#This Row],[LOCALIDADE]],PRODUTIVIDADES!$A:$A,0)-3)*tbAREAS[[#This Row],[ÁREA EM M²]]</f>
        <v>633.4860000000001</v>
      </c>
      <c r="L1049" s="391"/>
    </row>
    <row r="1050" spans="1:12" hidden="1" x14ac:dyDescent="0.25">
      <c r="A1050" s="228" t="s">
        <v>33</v>
      </c>
      <c r="B1050" s="234" t="s">
        <v>123</v>
      </c>
      <c r="C1050" s="230" t="s">
        <v>394</v>
      </c>
      <c r="D1050" s="230"/>
      <c r="E1050" s="229" t="s">
        <v>18</v>
      </c>
      <c r="F1050" s="231">
        <v>67.84</v>
      </c>
      <c r="G1050" s="229" t="s">
        <v>1</v>
      </c>
      <c r="H1050" s="405">
        <f ca="1">INDEX(PRODUTIVIDADES!$M:$M,MATCH(tbAREAS[[#This Row],[TIPO DE ÁREA]],PRODUTIVIDADES!$B:$B,0)+MATCH(tbAREAS[[#This Row],[LOCALIDADE]],PRODUTIVIDADES!$A:$A,0)-3)*tbAREAS[[#This Row],[ÁREA EM M²]]</f>
        <v>2771.2640000000001</v>
      </c>
      <c r="L1050" s="391"/>
    </row>
    <row r="1051" spans="1:12" hidden="1" x14ac:dyDescent="0.25">
      <c r="A1051" s="228" t="s">
        <v>33</v>
      </c>
      <c r="B1051" s="234" t="s">
        <v>123</v>
      </c>
      <c r="C1051" s="230" t="s">
        <v>394</v>
      </c>
      <c r="D1051" s="230"/>
      <c r="E1051" s="229" t="s">
        <v>20</v>
      </c>
      <c r="F1051" s="231">
        <v>294.58</v>
      </c>
      <c r="G1051" s="229" t="s">
        <v>1</v>
      </c>
      <c r="H1051" s="405">
        <f ca="1">INDEX(PRODUTIVIDADES!$M:$M,MATCH(tbAREAS[[#This Row],[TIPO DE ÁREA]],PRODUTIVIDADES!$B:$B,0)+MATCH(tbAREAS[[#This Row],[LOCALIDADE]],PRODUTIVIDADES!$A:$A,0)-3)*tbAREAS[[#This Row],[ÁREA EM M²]]</f>
        <v>206.20599999999999</v>
      </c>
      <c r="L1051" s="391"/>
    </row>
    <row r="1052" spans="1:12" hidden="1" x14ac:dyDescent="0.25">
      <c r="A1052" s="228" t="s">
        <v>33</v>
      </c>
      <c r="B1052" s="234" t="s">
        <v>123</v>
      </c>
      <c r="C1052" s="230" t="s">
        <v>394</v>
      </c>
      <c r="D1052" s="230"/>
      <c r="E1052" s="229" t="s">
        <v>21</v>
      </c>
      <c r="F1052" s="231">
        <v>115.3</v>
      </c>
      <c r="G1052" s="229" t="s">
        <v>1</v>
      </c>
      <c r="H1052" s="405">
        <f ca="1">INDEX(PRODUTIVIDADES!$M:$M,MATCH(tbAREAS[[#This Row],[TIPO DE ÁREA]],PRODUTIVIDADES!$B:$B,0)+MATCH(tbAREAS[[#This Row],[LOCALIDADE]],PRODUTIVIDADES!$A:$A,0)-3)*tbAREAS[[#This Row],[ÁREA EM M²]]</f>
        <v>19.601000000000003</v>
      </c>
      <c r="L1052" s="391"/>
    </row>
    <row r="1053" spans="1:12" hidden="1" x14ac:dyDescent="0.25">
      <c r="A1053" s="228" t="s">
        <v>33</v>
      </c>
      <c r="B1053" s="234" t="s">
        <v>123</v>
      </c>
      <c r="C1053" s="230" t="s">
        <v>394</v>
      </c>
      <c r="D1053" s="230"/>
      <c r="E1053" s="229" t="s">
        <v>22</v>
      </c>
      <c r="F1053" s="231">
        <v>115.3</v>
      </c>
      <c r="G1053" s="229" t="s">
        <v>1</v>
      </c>
      <c r="H1053" s="405">
        <f ca="1">INDEX(PRODUTIVIDADES!$M:$M,MATCH(tbAREAS[[#This Row],[TIPO DE ÁREA]],PRODUTIVIDADES!$B:$B,0)+MATCH(tbAREAS[[#This Row],[LOCALIDADE]],PRODUTIVIDADES!$A:$A,0)-3)*tbAREAS[[#This Row],[ÁREA EM M²]]</f>
        <v>46.120000000000005</v>
      </c>
      <c r="L1053" s="391"/>
    </row>
    <row r="1054" spans="1:12" hidden="1" x14ac:dyDescent="0.25">
      <c r="A1054" s="228" t="s">
        <v>33</v>
      </c>
      <c r="B1054" s="234" t="s">
        <v>123</v>
      </c>
      <c r="C1054" s="230" t="s">
        <v>395</v>
      </c>
      <c r="D1054" s="230"/>
      <c r="E1054" s="229" t="s">
        <v>10</v>
      </c>
      <c r="F1054" s="231">
        <v>693.87</v>
      </c>
      <c r="G1054" s="229" t="s">
        <v>1</v>
      </c>
      <c r="H1054" s="405">
        <f ca="1">INDEX(PRODUTIVIDADES!$M:$M,MATCH(tbAREAS[[#This Row],[TIPO DE ÁREA]],PRODUTIVIDADES!$B:$B,0)+MATCH(tbAREAS[[#This Row],[LOCALIDADE]],PRODUTIVIDADES!$A:$A,0)-3)*tbAREAS[[#This Row],[ÁREA EM M²]]</f>
        <v>1949.7746999999999</v>
      </c>
      <c r="L1054" s="391"/>
    </row>
    <row r="1055" spans="1:12" hidden="1" x14ac:dyDescent="0.25">
      <c r="A1055" s="228" t="s">
        <v>33</v>
      </c>
      <c r="B1055" s="234" t="s">
        <v>123</v>
      </c>
      <c r="C1055" s="230" t="s">
        <v>395</v>
      </c>
      <c r="D1055" s="230"/>
      <c r="E1055" s="229" t="s">
        <v>15</v>
      </c>
      <c r="F1055" s="231">
        <v>7.2</v>
      </c>
      <c r="G1055" s="229" t="s">
        <v>1</v>
      </c>
      <c r="H1055" s="405">
        <f ca="1">INDEX(PRODUTIVIDADES!$M:$M,MATCH(tbAREAS[[#This Row],[TIPO DE ÁREA]],PRODUTIVIDADES!$B:$B,0)+MATCH(tbAREAS[[#This Row],[LOCALIDADE]],PRODUTIVIDADES!$A:$A,0)-3)*tbAREAS[[#This Row],[ÁREA EM M²]]</f>
        <v>4.4640000000000004</v>
      </c>
      <c r="L1055" s="391"/>
    </row>
    <row r="1056" spans="1:12" hidden="1" x14ac:dyDescent="0.25">
      <c r="A1056" s="228" t="s">
        <v>33</v>
      </c>
      <c r="B1056" s="234" t="s">
        <v>123</v>
      </c>
      <c r="C1056" s="230" t="s">
        <v>395</v>
      </c>
      <c r="D1056" s="230"/>
      <c r="E1056" s="229" t="s">
        <v>17</v>
      </c>
      <c r="F1056" s="231">
        <v>352.12</v>
      </c>
      <c r="G1056" s="229" t="s">
        <v>1</v>
      </c>
      <c r="H1056" s="405">
        <f ca="1">INDEX(PRODUTIVIDADES!$M:$M,MATCH(tbAREAS[[#This Row],[TIPO DE ÁREA]],PRODUTIVIDADES!$B:$B,0)+MATCH(tbAREAS[[#This Row],[LOCALIDADE]],PRODUTIVIDADES!$A:$A,0)-3)*tbAREAS[[#This Row],[ÁREA EM M²]]</f>
        <v>739.452</v>
      </c>
      <c r="L1056" s="391"/>
    </row>
    <row r="1057" spans="1:12" hidden="1" x14ac:dyDescent="0.25">
      <c r="A1057" s="228" t="s">
        <v>33</v>
      </c>
      <c r="B1057" s="234" t="s">
        <v>123</v>
      </c>
      <c r="C1057" s="230" t="s">
        <v>395</v>
      </c>
      <c r="D1057" s="230"/>
      <c r="E1057" s="229" t="s">
        <v>18</v>
      </c>
      <c r="F1057" s="231">
        <v>63</v>
      </c>
      <c r="G1057" s="229" t="s">
        <v>1</v>
      </c>
      <c r="H1057" s="405">
        <f ca="1">INDEX(PRODUTIVIDADES!$M:$M,MATCH(tbAREAS[[#This Row],[TIPO DE ÁREA]],PRODUTIVIDADES!$B:$B,0)+MATCH(tbAREAS[[#This Row],[LOCALIDADE]],PRODUTIVIDADES!$A:$A,0)-3)*tbAREAS[[#This Row],[ÁREA EM M²]]</f>
        <v>2573.5500000000002</v>
      </c>
      <c r="L1057" s="391"/>
    </row>
    <row r="1058" spans="1:12" hidden="1" x14ac:dyDescent="0.25">
      <c r="A1058" s="228" t="s">
        <v>33</v>
      </c>
      <c r="B1058" s="234" t="s">
        <v>123</v>
      </c>
      <c r="C1058" s="230" t="s">
        <v>395</v>
      </c>
      <c r="D1058" s="230"/>
      <c r="E1058" s="229" t="s">
        <v>20</v>
      </c>
      <c r="F1058" s="231">
        <v>345.38</v>
      </c>
      <c r="G1058" s="229" t="s">
        <v>1</v>
      </c>
      <c r="H1058" s="405">
        <f ca="1">INDEX(PRODUTIVIDADES!$M:$M,MATCH(tbAREAS[[#This Row],[TIPO DE ÁREA]],PRODUTIVIDADES!$B:$B,0)+MATCH(tbAREAS[[#This Row],[LOCALIDADE]],PRODUTIVIDADES!$A:$A,0)-3)*tbAREAS[[#This Row],[ÁREA EM M²]]</f>
        <v>241.76599999999999</v>
      </c>
      <c r="L1058" s="391"/>
    </row>
    <row r="1059" spans="1:12" hidden="1" x14ac:dyDescent="0.25">
      <c r="A1059" s="228" t="s">
        <v>33</v>
      </c>
      <c r="B1059" s="234" t="s">
        <v>123</v>
      </c>
      <c r="C1059" s="230" t="s">
        <v>395</v>
      </c>
      <c r="D1059" s="230"/>
      <c r="E1059" s="229" t="s">
        <v>21</v>
      </c>
      <c r="F1059" s="231">
        <v>278.24</v>
      </c>
      <c r="G1059" s="229" t="s">
        <v>1</v>
      </c>
      <c r="H1059" s="405">
        <f ca="1">INDEX(PRODUTIVIDADES!$M:$M,MATCH(tbAREAS[[#This Row],[TIPO DE ÁREA]],PRODUTIVIDADES!$B:$B,0)+MATCH(tbAREAS[[#This Row],[LOCALIDADE]],PRODUTIVIDADES!$A:$A,0)-3)*tbAREAS[[#This Row],[ÁREA EM M²]]</f>
        <v>47.300800000000002</v>
      </c>
      <c r="L1059" s="391"/>
    </row>
    <row r="1060" spans="1:12" hidden="1" x14ac:dyDescent="0.25">
      <c r="A1060" s="228" t="s">
        <v>33</v>
      </c>
      <c r="B1060" s="234" t="s">
        <v>123</v>
      </c>
      <c r="C1060" s="230" t="s">
        <v>395</v>
      </c>
      <c r="D1060" s="230"/>
      <c r="E1060" s="229" t="s">
        <v>22</v>
      </c>
      <c r="F1060" s="231">
        <v>278.24</v>
      </c>
      <c r="G1060" s="229" t="s">
        <v>1</v>
      </c>
      <c r="H1060" s="405">
        <f ca="1">INDEX(PRODUTIVIDADES!$M:$M,MATCH(tbAREAS[[#This Row],[TIPO DE ÁREA]],PRODUTIVIDADES!$B:$B,0)+MATCH(tbAREAS[[#This Row],[LOCALIDADE]],PRODUTIVIDADES!$A:$A,0)-3)*tbAREAS[[#This Row],[ÁREA EM M²]]</f>
        <v>111.29600000000001</v>
      </c>
      <c r="L1060" s="391"/>
    </row>
    <row r="1061" spans="1:12" hidden="1" x14ac:dyDescent="0.25">
      <c r="A1061" s="228" t="s">
        <v>33</v>
      </c>
      <c r="B1061" s="234" t="s">
        <v>123</v>
      </c>
      <c r="C1061" s="230" t="s">
        <v>396</v>
      </c>
      <c r="D1061" s="230"/>
      <c r="E1061" s="229" t="s">
        <v>9</v>
      </c>
      <c r="F1061" s="231">
        <v>608.37</v>
      </c>
      <c r="G1061" s="229" t="s">
        <v>1</v>
      </c>
      <c r="H1061" s="405">
        <f ca="1">INDEX(PRODUTIVIDADES!$M:$M,MATCH(tbAREAS[[#This Row],[TIPO DE ÁREA]],PRODUTIVIDADES!$B:$B,0)+MATCH(tbAREAS[[#This Row],[LOCALIDADE]],PRODUTIVIDADES!$A:$A,0)-3)*tbAREAS[[#This Row],[ÁREA EM M²]]</f>
        <v>4702.7001</v>
      </c>
      <c r="L1061" s="391"/>
    </row>
    <row r="1062" spans="1:12" hidden="1" x14ac:dyDescent="0.25">
      <c r="A1062" s="228" t="s">
        <v>33</v>
      </c>
      <c r="B1062" s="234" t="s">
        <v>123</v>
      </c>
      <c r="C1062" s="230" t="s">
        <v>396</v>
      </c>
      <c r="D1062" s="230"/>
      <c r="E1062" s="229" t="s">
        <v>10</v>
      </c>
      <c r="F1062" s="231">
        <v>85.5</v>
      </c>
      <c r="G1062" s="229" t="s">
        <v>1</v>
      </c>
      <c r="H1062" s="405">
        <f ca="1">INDEX(PRODUTIVIDADES!$M:$M,MATCH(tbAREAS[[#This Row],[TIPO DE ÁREA]],PRODUTIVIDADES!$B:$B,0)+MATCH(tbAREAS[[#This Row],[LOCALIDADE]],PRODUTIVIDADES!$A:$A,0)-3)*tbAREAS[[#This Row],[ÁREA EM M²]]</f>
        <v>240.255</v>
      </c>
      <c r="L1062" s="391"/>
    </row>
    <row r="1063" spans="1:12" hidden="1" x14ac:dyDescent="0.25">
      <c r="A1063" s="228" t="s">
        <v>33</v>
      </c>
      <c r="B1063" s="234" t="s">
        <v>123</v>
      </c>
      <c r="C1063" s="230" t="s">
        <v>396</v>
      </c>
      <c r="D1063" s="230"/>
      <c r="E1063" s="229" t="s">
        <v>15</v>
      </c>
      <c r="F1063" s="231">
        <v>7.2</v>
      </c>
      <c r="G1063" s="229" t="s">
        <v>1</v>
      </c>
      <c r="H1063" s="405">
        <f ca="1">INDEX(PRODUTIVIDADES!$M:$M,MATCH(tbAREAS[[#This Row],[TIPO DE ÁREA]],PRODUTIVIDADES!$B:$B,0)+MATCH(tbAREAS[[#This Row],[LOCALIDADE]],PRODUTIVIDADES!$A:$A,0)-3)*tbAREAS[[#This Row],[ÁREA EM M²]]</f>
        <v>4.4640000000000004</v>
      </c>
      <c r="L1063" s="391"/>
    </row>
    <row r="1064" spans="1:12" hidden="1" x14ac:dyDescent="0.25">
      <c r="A1064" s="228" t="s">
        <v>33</v>
      </c>
      <c r="B1064" s="234" t="s">
        <v>123</v>
      </c>
      <c r="C1064" s="230" t="s">
        <v>396</v>
      </c>
      <c r="D1064" s="230"/>
      <c r="E1064" s="229" t="s">
        <v>17</v>
      </c>
      <c r="F1064" s="231">
        <v>352.12</v>
      </c>
      <c r="G1064" s="229" t="s">
        <v>1</v>
      </c>
      <c r="H1064" s="405">
        <f ca="1">INDEX(PRODUTIVIDADES!$M:$M,MATCH(tbAREAS[[#This Row],[TIPO DE ÁREA]],PRODUTIVIDADES!$B:$B,0)+MATCH(tbAREAS[[#This Row],[LOCALIDADE]],PRODUTIVIDADES!$A:$A,0)-3)*tbAREAS[[#This Row],[ÁREA EM M²]]</f>
        <v>739.452</v>
      </c>
      <c r="L1064" s="391"/>
    </row>
    <row r="1065" spans="1:12" hidden="1" x14ac:dyDescent="0.25">
      <c r="A1065" s="228" t="s">
        <v>33</v>
      </c>
      <c r="B1065" s="234" t="s">
        <v>123</v>
      </c>
      <c r="C1065" s="230" t="s">
        <v>396</v>
      </c>
      <c r="D1065" s="230"/>
      <c r="E1065" s="229" t="s">
        <v>18</v>
      </c>
      <c r="F1065" s="231">
        <v>63</v>
      </c>
      <c r="G1065" s="229" t="s">
        <v>1</v>
      </c>
      <c r="H1065" s="405">
        <f ca="1">INDEX(PRODUTIVIDADES!$M:$M,MATCH(tbAREAS[[#This Row],[TIPO DE ÁREA]],PRODUTIVIDADES!$B:$B,0)+MATCH(tbAREAS[[#This Row],[LOCALIDADE]],PRODUTIVIDADES!$A:$A,0)-3)*tbAREAS[[#This Row],[ÁREA EM M²]]</f>
        <v>2573.5500000000002</v>
      </c>
      <c r="L1065" s="391"/>
    </row>
    <row r="1066" spans="1:12" hidden="1" x14ac:dyDescent="0.25">
      <c r="A1066" s="228" t="s">
        <v>33</v>
      </c>
      <c r="B1066" s="234" t="s">
        <v>123</v>
      </c>
      <c r="C1066" s="230" t="s">
        <v>396</v>
      </c>
      <c r="D1066" s="230"/>
      <c r="E1066" s="229" t="s">
        <v>20</v>
      </c>
      <c r="F1066" s="231">
        <v>311.72000000000003</v>
      </c>
      <c r="G1066" s="229" t="s">
        <v>1</v>
      </c>
      <c r="H1066" s="405">
        <f ca="1">INDEX(PRODUTIVIDADES!$M:$M,MATCH(tbAREAS[[#This Row],[TIPO DE ÁREA]],PRODUTIVIDADES!$B:$B,0)+MATCH(tbAREAS[[#This Row],[LOCALIDADE]],PRODUTIVIDADES!$A:$A,0)-3)*tbAREAS[[#This Row],[ÁREA EM M²]]</f>
        <v>218.20400000000001</v>
      </c>
      <c r="L1066" s="391"/>
    </row>
    <row r="1067" spans="1:12" hidden="1" x14ac:dyDescent="0.25">
      <c r="A1067" s="228" t="s">
        <v>33</v>
      </c>
      <c r="B1067" s="234" t="s">
        <v>123</v>
      </c>
      <c r="C1067" s="230" t="s">
        <v>396</v>
      </c>
      <c r="D1067" s="230"/>
      <c r="E1067" s="229" t="s">
        <v>21</v>
      </c>
      <c r="F1067" s="231">
        <v>278.24</v>
      </c>
      <c r="G1067" s="229" t="s">
        <v>1</v>
      </c>
      <c r="H1067" s="405">
        <f ca="1">INDEX(PRODUTIVIDADES!$M:$M,MATCH(tbAREAS[[#This Row],[TIPO DE ÁREA]],PRODUTIVIDADES!$B:$B,0)+MATCH(tbAREAS[[#This Row],[LOCALIDADE]],PRODUTIVIDADES!$A:$A,0)-3)*tbAREAS[[#This Row],[ÁREA EM M²]]</f>
        <v>47.300800000000002</v>
      </c>
      <c r="L1067" s="391"/>
    </row>
    <row r="1068" spans="1:12" hidden="1" x14ac:dyDescent="0.25">
      <c r="A1068" s="228" t="s">
        <v>33</v>
      </c>
      <c r="B1068" s="234" t="s">
        <v>123</v>
      </c>
      <c r="C1068" s="230" t="s">
        <v>396</v>
      </c>
      <c r="D1068" s="230"/>
      <c r="E1068" s="229" t="s">
        <v>22</v>
      </c>
      <c r="F1068" s="231">
        <v>278.24</v>
      </c>
      <c r="G1068" s="229" t="s">
        <v>1</v>
      </c>
      <c r="H1068" s="405">
        <f ca="1">INDEX(PRODUTIVIDADES!$M:$M,MATCH(tbAREAS[[#This Row],[TIPO DE ÁREA]],PRODUTIVIDADES!$B:$B,0)+MATCH(tbAREAS[[#This Row],[LOCALIDADE]],PRODUTIVIDADES!$A:$A,0)-3)*tbAREAS[[#This Row],[ÁREA EM M²]]</f>
        <v>111.29600000000001</v>
      </c>
      <c r="L1068" s="391"/>
    </row>
    <row r="1069" spans="1:12" hidden="1" x14ac:dyDescent="0.25">
      <c r="A1069" s="228" t="s">
        <v>33</v>
      </c>
      <c r="B1069" s="234" t="s">
        <v>123</v>
      </c>
      <c r="C1069" s="230" t="s">
        <v>397</v>
      </c>
      <c r="D1069" s="230"/>
      <c r="E1069" s="229" t="s">
        <v>10</v>
      </c>
      <c r="F1069" s="231">
        <v>86.73</v>
      </c>
      <c r="G1069" s="229" t="s">
        <v>1</v>
      </c>
      <c r="H1069" s="405">
        <f ca="1">INDEX(PRODUTIVIDADES!$M:$M,MATCH(tbAREAS[[#This Row],[TIPO DE ÁREA]],PRODUTIVIDADES!$B:$B,0)+MATCH(tbAREAS[[#This Row],[LOCALIDADE]],PRODUTIVIDADES!$A:$A,0)-3)*tbAREAS[[#This Row],[ÁREA EM M²]]</f>
        <v>243.71130000000002</v>
      </c>
      <c r="L1069" s="391"/>
    </row>
    <row r="1070" spans="1:12" hidden="1" x14ac:dyDescent="0.25">
      <c r="A1070" s="228" t="s">
        <v>33</v>
      </c>
      <c r="B1070" s="234" t="s">
        <v>123</v>
      </c>
      <c r="C1070" s="230" t="s">
        <v>397</v>
      </c>
      <c r="D1070" s="230"/>
      <c r="E1070" s="229" t="s">
        <v>18</v>
      </c>
      <c r="F1070" s="231">
        <v>2.5499999999999998</v>
      </c>
      <c r="G1070" s="229" t="s">
        <v>1</v>
      </c>
      <c r="H1070" s="405">
        <f ca="1">INDEX(PRODUTIVIDADES!$M:$M,MATCH(tbAREAS[[#This Row],[TIPO DE ÁREA]],PRODUTIVIDADES!$B:$B,0)+MATCH(tbAREAS[[#This Row],[LOCALIDADE]],PRODUTIVIDADES!$A:$A,0)-3)*tbAREAS[[#This Row],[ÁREA EM M²]]</f>
        <v>104.16749999999999</v>
      </c>
      <c r="L1070" s="391"/>
    </row>
    <row r="1071" spans="1:12" hidden="1" x14ac:dyDescent="0.25">
      <c r="A1071" s="228" t="s">
        <v>33</v>
      </c>
      <c r="B1071" s="234" t="s">
        <v>123</v>
      </c>
      <c r="C1071" s="230" t="s">
        <v>397</v>
      </c>
      <c r="D1071" s="230"/>
      <c r="E1071" s="229" t="s">
        <v>20</v>
      </c>
      <c r="F1071" s="231">
        <v>4.74</v>
      </c>
      <c r="G1071" s="229" t="s">
        <v>1</v>
      </c>
      <c r="H1071" s="405">
        <f ca="1">INDEX(PRODUTIVIDADES!$M:$M,MATCH(tbAREAS[[#This Row],[TIPO DE ÁREA]],PRODUTIVIDADES!$B:$B,0)+MATCH(tbAREAS[[#This Row],[LOCALIDADE]],PRODUTIVIDADES!$A:$A,0)-3)*tbAREAS[[#This Row],[ÁREA EM M²]]</f>
        <v>3.3180000000000001</v>
      </c>
      <c r="L1071" s="391"/>
    </row>
    <row r="1072" spans="1:12" hidden="1" x14ac:dyDescent="0.25">
      <c r="A1072" s="228" t="s">
        <v>33</v>
      </c>
      <c r="B1072" s="234" t="s">
        <v>123</v>
      </c>
      <c r="C1072" s="230" t="s">
        <v>397</v>
      </c>
      <c r="D1072" s="230"/>
      <c r="E1072" s="229" t="s">
        <v>21</v>
      </c>
      <c r="F1072" s="231">
        <v>92.56</v>
      </c>
      <c r="G1072" s="229" t="s">
        <v>1</v>
      </c>
      <c r="H1072" s="405">
        <f ca="1">INDEX(PRODUTIVIDADES!$M:$M,MATCH(tbAREAS[[#This Row],[TIPO DE ÁREA]],PRODUTIVIDADES!$B:$B,0)+MATCH(tbAREAS[[#This Row],[LOCALIDADE]],PRODUTIVIDADES!$A:$A,0)-3)*tbAREAS[[#This Row],[ÁREA EM M²]]</f>
        <v>15.735200000000001</v>
      </c>
      <c r="L1072" s="391"/>
    </row>
    <row r="1073" spans="1:12" hidden="1" x14ac:dyDescent="0.25">
      <c r="A1073" s="228" t="s">
        <v>33</v>
      </c>
      <c r="B1073" s="234" t="s">
        <v>123</v>
      </c>
      <c r="C1073" s="230" t="s">
        <v>397</v>
      </c>
      <c r="D1073" s="230"/>
      <c r="E1073" s="229" t="s">
        <v>22</v>
      </c>
      <c r="F1073" s="231">
        <v>92.56</v>
      </c>
      <c r="G1073" s="229" t="s">
        <v>1</v>
      </c>
      <c r="H1073" s="405">
        <f ca="1">INDEX(PRODUTIVIDADES!$M:$M,MATCH(tbAREAS[[#This Row],[TIPO DE ÁREA]],PRODUTIVIDADES!$B:$B,0)+MATCH(tbAREAS[[#This Row],[LOCALIDADE]],PRODUTIVIDADES!$A:$A,0)-3)*tbAREAS[[#This Row],[ÁREA EM M²]]</f>
        <v>37.024000000000001</v>
      </c>
      <c r="L1073" s="391"/>
    </row>
    <row r="1074" spans="1:12" hidden="1" x14ac:dyDescent="0.25">
      <c r="A1074" s="228" t="s">
        <v>33</v>
      </c>
      <c r="B1074" s="234" t="s">
        <v>123</v>
      </c>
      <c r="C1074" s="230" t="s">
        <v>398</v>
      </c>
      <c r="D1074" s="230"/>
      <c r="E1074" s="229" t="s">
        <v>10</v>
      </c>
      <c r="F1074" s="231">
        <v>24.74</v>
      </c>
      <c r="G1074" s="229" t="s">
        <v>1</v>
      </c>
      <c r="H1074" s="405">
        <f ca="1">INDEX(PRODUTIVIDADES!$M:$M,MATCH(tbAREAS[[#This Row],[TIPO DE ÁREA]],PRODUTIVIDADES!$B:$B,0)+MATCH(tbAREAS[[#This Row],[LOCALIDADE]],PRODUTIVIDADES!$A:$A,0)-3)*tbAREAS[[#This Row],[ÁREA EM M²]]</f>
        <v>69.51939999999999</v>
      </c>
      <c r="L1074" s="391"/>
    </row>
    <row r="1075" spans="1:12" hidden="1" x14ac:dyDescent="0.25">
      <c r="A1075" s="228" t="s">
        <v>33</v>
      </c>
      <c r="B1075" s="234" t="s">
        <v>123</v>
      </c>
      <c r="C1075" s="230" t="s">
        <v>398</v>
      </c>
      <c r="D1075" s="230"/>
      <c r="E1075" s="229" t="s">
        <v>14</v>
      </c>
      <c r="F1075" s="231">
        <v>460</v>
      </c>
      <c r="G1075" s="229" t="s">
        <v>1</v>
      </c>
      <c r="H1075" s="405">
        <f ca="1">INDEX(PRODUTIVIDADES!$M:$M,MATCH(tbAREAS[[#This Row],[TIPO DE ÁREA]],PRODUTIVIDADES!$B:$B,0)+MATCH(tbAREAS[[#This Row],[LOCALIDADE]],PRODUTIVIDADES!$A:$A,0)-3)*tbAREAS[[#This Row],[ÁREA EM M²]]</f>
        <v>3523.6</v>
      </c>
      <c r="L1075" s="391"/>
    </row>
    <row r="1076" spans="1:12" hidden="1" x14ac:dyDescent="0.25">
      <c r="A1076" s="228" t="s">
        <v>33</v>
      </c>
      <c r="B1076" s="234" t="s">
        <v>123</v>
      </c>
      <c r="C1076" s="230" t="s">
        <v>398</v>
      </c>
      <c r="D1076" s="230"/>
      <c r="E1076" s="229" t="s">
        <v>15</v>
      </c>
      <c r="F1076" s="231">
        <v>5.76</v>
      </c>
      <c r="G1076" s="229" t="s">
        <v>1</v>
      </c>
      <c r="H1076" s="405">
        <f ca="1">INDEX(PRODUTIVIDADES!$M:$M,MATCH(tbAREAS[[#This Row],[TIPO DE ÁREA]],PRODUTIVIDADES!$B:$B,0)+MATCH(tbAREAS[[#This Row],[LOCALIDADE]],PRODUTIVIDADES!$A:$A,0)-3)*tbAREAS[[#This Row],[ÁREA EM M²]]</f>
        <v>3.5711999999999997</v>
      </c>
      <c r="L1076" s="391"/>
    </row>
    <row r="1077" spans="1:12" hidden="1" x14ac:dyDescent="0.25">
      <c r="A1077" s="228" t="s">
        <v>33</v>
      </c>
      <c r="B1077" s="234" t="s">
        <v>123</v>
      </c>
      <c r="C1077" s="230" t="s">
        <v>398</v>
      </c>
      <c r="D1077" s="230"/>
      <c r="E1077" s="229" t="s">
        <v>17</v>
      </c>
      <c r="F1077" s="231">
        <v>301.66000000000003</v>
      </c>
      <c r="G1077" s="229" t="s">
        <v>1</v>
      </c>
      <c r="H1077" s="405">
        <f ca="1">INDEX(PRODUTIVIDADES!$M:$M,MATCH(tbAREAS[[#This Row],[TIPO DE ÁREA]],PRODUTIVIDADES!$B:$B,0)+MATCH(tbAREAS[[#This Row],[LOCALIDADE]],PRODUTIVIDADES!$A:$A,0)-3)*tbAREAS[[#This Row],[ÁREA EM M²]]</f>
        <v>633.4860000000001</v>
      </c>
      <c r="L1077" s="391"/>
    </row>
    <row r="1078" spans="1:12" hidden="1" x14ac:dyDescent="0.25">
      <c r="A1078" s="228" t="s">
        <v>33</v>
      </c>
      <c r="B1078" s="234" t="s">
        <v>123</v>
      </c>
      <c r="C1078" s="230" t="s">
        <v>398</v>
      </c>
      <c r="D1078" s="230"/>
      <c r="E1078" s="229" t="s">
        <v>18</v>
      </c>
      <c r="F1078" s="231">
        <v>67.84</v>
      </c>
      <c r="G1078" s="229" t="s">
        <v>1</v>
      </c>
      <c r="H1078" s="405">
        <f ca="1">INDEX(PRODUTIVIDADES!$M:$M,MATCH(tbAREAS[[#This Row],[TIPO DE ÁREA]],PRODUTIVIDADES!$B:$B,0)+MATCH(tbAREAS[[#This Row],[LOCALIDADE]],PRODUTIVIDADES!$A:$A,0)-3)*tbAREAS[[#This Row],[ÁREA EM M²]]</f>
        <v>2771.2640000000001</v>
      </c>
      <c r="L1078" s="391"/>
    </row>
    <row r="1079" spans="1:12" hidden="1" x14ac:dyDescent="0.25">
      <c r="A1079" s="228" t="s">
        <v>33</v>
      </c>
      <c r="B1079" s="234" t="s">
        <v>123</v>
      </c>
      <c r="C1079" s="230" t="s">
        <v>398</v>
      </c>
      <c r="D1079" s="230"/>
      <c r="E1079" s="229" t="s">
        <v>20</v>
      </c>
      <c r="F1079" s="231">
        <v>385.21</v>
      </c>
      <c r="G1079" s="229" t="s">
        <v>1</v>
      </c>
      <c r="H1079" s="405">
        <f ca="1">INDEX(PRODUTIVIDADES!$M:$M,MATCH(tbAREAS[[#This Row],[TIPO DE ÁREA]],PRODUTIVIDADES!$B:$B,0)+MATCH(tbAREAS[[#This Row],[LOCALIDADE]],PRODUTIVIDADES!$A:$A,0)-3)*tbAREAS[[#This Row],[ÁREA EM M²]]</f>
        <v>269.64699999999999</v>
      </c>
      <c r="L1079" s="391"/>
    </row>
    <row r="1080" spans="1:12" hidden="1" x14ac:dyDescent="0.25">
      <c r="A1080" s="228" t="s">
        <v>33</v>
      </c>
      <c r="B1080" s="234" t="s">
        <v>123</v>
      </c>
      <c r="C1080" s="230" t="s">
        <v>398</v>
      </c>
      <c r="D1080" s="230"/>
      <c r="E1080" s="229" t="s">
        <v>21</v>
      </c>
      <c r="F1080" s="231">
        <v>115.3</v>
      </c>
      <c r="G1080" s="229" t="s">
        <v>1</v>
      </c>
      <c r="H1080" s="405">
        <f ca="1">INDEX(PRODUTIVIDADES!$M:$M,MATCH(tbAREAS[[#This Row],[TIPO DE ÁREA]],PRODUTIVIDADES!$B:$B,0)+MATCH(tbAREAS[[#This Row],[LOCALIDADE]],PRODUTIVIDADES!$A:$A,0)-3)*tbAREAS[[#This Row],[ÁREA EM M²]]</f>
        <v>19.601000000000003</v>
      </c>
      <c r="L1080" s="391"/>
    </row>
    <row r="1081" spans="1:12" hidden="1" x14ac:dyDescent="0.25">
      <c r="A1081" s="228" t="s">
        <v>33</v>
      </c>
      <c r="B1081" s="234" t="s">
        <v>123</v>
      </c>
      <c r="C1081" s="230" t="s">
        <v>398</v>
      </c>
      <c r="D1081" s="230"/>
      <c r="E1081" s="229" t="s">
        <v>22</v>
      </c>
      <c r="F1081" s="231">
        <v>115.3</v>
      </c>
      <c r="G1081" s="229" t="s">
        <v>1</v>
      </c>
      <c r="H1081" s="405">
        <f ca="1">INDEX(PRODUTIVIDADES!$M:$M,MATCH(tbAREAS[[#This Row],[TIPO DE ÁREA]],PRODUTIVIDADES!$B:$B,0)+MATCH(tbAREAS[[#This Row],[LOCALIDADE]],PRODUTIVIDADES!$A:$A,0)-3)*tbAREAS[[#This Row],[ÁREA EM M²]]</f>
        <v>46.120000000000005</v>
      </c>
      <c r="L1081" s="391"/>
    </row>
    <row r="1082" spans="1:12" hidden="1" x14ac:dyDescent="0.25">
      <c r="A1082" s="228" t="s">
        <v>33</v>
      </c>
      <c r="B1082" s="234" t="s">
        <v>123</v>
      </c>
      <c r="C1082" s="230" t="s">
        <v>399</v>
      </c>
      <c r="D1082" s="230"/>
      <c r="E1082" s="229" t="s">
        <v>10</v>
      </c>
      <c r="F1082" s="231">
        <v>13.36</v>
      </c>
      <c r="G1082" s="229" t="s">
        <v>1</v>
      </c>
      <c r="H1082" s="405">
        <f ca="1">INDEX(PRODUTIVIDADES!$M:$M,MATCH(tbAREAS[[#This Row],[TIPO DE ÁREA]],PRODUTIVIDADES!$B:$B,0)+MATCH(tbAREAS[[#This Row],[LOCALIDADE]],PRODUTIVIDADES!$A:$A,0)-3)*tbAREAS[[#This Row],[ÁREA EM M²]]</f>
        <v>37.541600000000003</v>
      </c>
      <c r="L1082" s="391"/>
    </row>
    <row r="1083" spans="1:12" hidden="1" x14ac:dyDescent="0.25">
      <c r="A1083" s="228" t="s">
        <v>33</v>
      </c>
      <c r="B1083" s="234" t="s">
        <v>123</v>
      </c>
      <c r="C1083" s="230" t="s">
        <v>399</v>
      </c>
      <c r="D1083" s="230"/>
      <c r="E1083" s="229" t="s">
        <v>14</v>
      </c>
      <c r="F1083" s="231">
        <v>471.38</v>
      </c>
      <c r="G1083" s="229" t="s">
        <v>1</v>
      </c>
      <c r="H1083" s="405">
        <f ca="1">INDEX(PRODUTIVIDADES!$M:$M,MATCH(tbAREAS[[#This Row],[TIPO DE ÁREA]],PRODUTIVIDADES!$B:$B,0)+MATCH(tbAREAS[[#This Row],[LOCALIDADE]],PRODUTIVIDADES!$A:$A,0)-3)*tbAREAS[[#This Row],[ÁREA EM M²]]</f>
        <v>3610.7708000000002</v>
      </c>
      <c r="L1083" s="391"/>
    </row>
    <row r="1084" spans="1:12" hidden="1" x14ac:dyDescent="0.25">
      <c r="A1084" s="228" t="s">
        <v>33</v>
      </c>
      <c r="B1084" s="234" t="s">
        <v>123</v>
      </c>
      <c r="C1084" s="230" t="s">
        <v>399</v>
      </c>
      <c r="D1084" s="230"/>
      <c r="E1084" s="229" t="s">
        <v>15</v>
      </c>
      <c r="F1084" s="231">
        <v>5.76</v>
      </c>
      <c r="G1084" s="229" t="s">
        <v>1</v>
      </c>
      <c r="H1084" s="405">
        <f ca="1">INDEX(PRODUTIVIDADES!$M:$M,MATCH(tbAREAS[[#This Row],[TIPO DE ÁREA]],PRODUTIVIDADES!$B:$B,0)+MATCH(tbAREAS[[#This Row],[LOCALIDADE]],PRODUTIVIDADES!$A:$A,0)-3)*tbAREAS[[#This Row],[ÁREA EM M²]]</f>
        <v>3.5711999999999997</v>
      </c>
      <c r="L1084" s="391"/>
    </row>
    <row r="1085" spans="1:12" hidden="1" x14ac:dyDescent="0.25">
      <c r="A1085" s="228" t="s">
        <v>33</v>
      </c>
      <c r="B1085" s="234" t="s">
        <v>123</v>
      </c>
      <c r="C1085" s="230" t="s">
        <v>399</v>
      </c>
      <c r="D1085" s="230"/>
      <c r="E1085" s="229" t="s">
        <v>17</v>
      </c>
      <c r="F1085" s="231">
        <v>301.66000000000003</v>
      </c>
      <c r="G1085" s="229" t="s">
        <v>1</v>
      </c>
      <c r="H1085" s="405">
        <f ca="1">INDEX(PRODUTIVIDADES!$M:$M,MATCH(tbAREAS[[#This Row],[TIPO DE ÁREA]],PRODUTIVIDADES!$B:$B,0)+MATCH(tbAREAS[[#This Row],[LOCALIDADE]],PRODUTIVIDADES!$A:$A,0)-3)*tbAREAS[[#This Row],[ÁREA EM M²]]</f>
        <v>633.4860000000001</v>
      </c>
      <c r="L1085" s="391"/>
    </row>
    <row r="1086" spans="1:12" hidden="1" x14ac:dyDescent="0.25">
      <c r="A1086" s="228" t="s">
        <v>33</v>
      </c>
      <c r="B1086" s="234" t="s">
        <v>123</v>
      </c>
      <c r="C1086" s="230" t="s">
        <v>399</v>
      </c>
      <c r="D1086" s="230"/>
      <c r="E1086" s="229" t="s">
        <v>18</v>
      </c>
      <c r="F1086" s="231">
        <v>67.84</v>
      </c>
      <c r="G1086" s="229" t="s">
        <v>1</v>
      </c>
      <c r="H1086" s="405">
        <f ca="1">INDEX(PRODUTIVIDADES!$M:$M,MATCH(tbAREAS[[#This Row],[TIPO DE ÁREA]],PRODUTIVIDADES!$B:$B,0)+MATCH(tbAREAS[[#This Row],[LOCALIDADE]],PRODUTIVIDADES!$A:$A,0)-3)*tbAREAS[[#This Row],[ÁREA EM M²]]</f>
        <v>2771.2640000000001</v>
      </c>
      <c r="L1086" s="391"/>
    </row>
    <row r="1087" spans="1:12" hidden="1" x14ac:dyDescent="0.25">
      <c r="A1087" s="228" t="s">
        <v>33</v>
      </c>
      <c r="B1087" s="234" t="s">
        <v>123</v>
      </c>
      <c r="C1087" s="230" t="s">
        <v>399</v>
      </c>
      <c r="D1087" s="230"/>
      <c r="E1087" s="229" t="s">
        <v>20</v>
      </c>
      <c r="F1087" s="231">
        <v>293.88</v>
      </c>
      <c r="G1087" s="229" t="s">
        <v>1</v>
      </c>
      <c r="H1087" s="405">
        <f ca="1">INDEX(PRODUTIVIDADES!$M:$M,MATCH(tbAREAS[[#This Row],[TIPO DE ÁREA]],PRODUTIVIDADES!$B:$B,0)+MATCH(tbAREAS[[#This Row],[LOCALIDADE]],PRODUTIVIDADES!$A:$A,0)-3)*tbAREAS[[#This Row],[ÁREA EM M²]]</f>
        <v>205.71599999999998</v>
      </c>
      <c r="L1087" s="391"/>
    </row>
    <row r="1088" spans="1:12" hidden="1" x14ac:dyDescent="0.25">
      <c r="A1088" s="228" t="s">
        <v>33</v>
      </c>
      <c r="B1088" s="234" t="s">
        <v>123</v>
      </c>
      <c r="C1088" s="230" t="s">
        <v>399</v>
      </c>
      <c r="D1088" s="230"/>
      <c r="E1088" s="229" t="s">
        <v>21</v>
      </c>
      <c r="F1088" s="231">
        <v>115.3</v>
      </c>
      <c r="G1088" s="229" t="s">
        <v>1</v>
      </c>
      <c r="H1088" s="405">
        <f ca="1">INDEX(PRODUTIVIDADES!$M:$M,MATCH(tbAREAS[[#This Row],[TIPO DE ÁREA]],PRODUTIVIDADES!$B:$B,0)+MATCH(tbAREAS[[#This Row],[LOCALIDADE]],PRODUTIVIDADES!$A:$A,0)-3)*tbAREAS[[#This Row],[ÁREA EM M²]]</f>
        <v>19.601000000000003</v>
      </c>
      <c r="L1088" s="391"/>
    </row>
    <row r="1089" spans="1:12" hidden="1" x14ac:dyDescent="0.25">
      <c r="A1089" s="228" t="s">
        <v>33</v>
      </c>
      <c r="B1089" s="234" t="s">
        <v>123</v>
      </c>
      <c r="C1089" s="230" t="s">
        <v>399</v>
      </c>
      <c r="D1089" s="230"/>
      <c r="E1089" s="229" t="s">
        <v>22</v>
      </c>
      <c r="F1089" s="231">
        <v>115.3</v>
      </c>
      <c r="G1089" s="229" t="s">
        <v>1</v>
      </c>
      <c r="H1089" s="405">
        <f ca="1">INDEX(PRODUTIVIDADES!$M:$M,MATCH(tbAREAS[[#This Row],[TIPO DE ÁREA]],PRODUTIVIDADES!$B:$B,0)+MATCH(tbAREAS[[#This Row],[LOCALIDADE]],PRODUTIVIDADES!$A:$A,0)-3)*tbAREAS[[#This Row],[ÁREA EM M²]]</f>
        <v>46.120000000000005</v>
      </c>
      <c r="L1089" s="391"/>
    </row>
    <row r="1090" spans="1:12" hidden="1" x14ac:dyDescent="0.25">
      <c r="A1090" s="228" t="s">
        <v>33</v>
      </c>
      <c r="B1090" s="234" t="s">
        <v>123</v>
      </c>
      <c r="C1090" s="230" t="s">
        <v>400</v>
      </c>
      <c r="D1090" s="230"/>
      <c r="E1090" s="229" t="s">
        <v>10</v>
      </c>
      <c r="F1090" s="231">
        <v>14.11</v>
      </c>
      <c r="G1090" s="229" t="s">
        <v>1</v>
      </c>
      <c r="H1090" s="405">
        <f ca="1">INDEX(PRODUTIVIDADES!$M:$M,MATCH(tbAREAS[[#This Row],[TIPO DE ÁREA]],PRODUTIVIDADES!$B:$B,0)+MATCH(tbAREAS[[#This Row],[LOCALIDADE]],PRODUTIVIDADES!$A:$A,0)-3)*tbAREAS[[#This Row],[ÁREA EM M²]]</f>
        <v>39.649099999999997</v>
      </c>
      <c r="L1090" s="391"/>
    </row>
    <row r="1091" spans="1:12" hidden="1" x14ac:dyDescent="0.25">
      <c r="A1091" s="228" t="s">
        <v>33</v>
      </c>
      <c r="B1091" s="234" t="s">
        <v>123</v>
      </c>
      <c r="C1091" s="230" t="s">
        <v>400</v>
      </c>
      <c r="D1091" s="230"/>
      <c r="E1091" s="229" t="s">
        <v>15</v>
      </c>
      <c r="F1091" s="231">
        <v>13.1</v>
      </c>
      <c r="G1091" s="229" t="s">
        <v>1</v>
      </c>
      <c r="H1091" s="405">
        <f ca="1">INDEX(PRODUTIVIDADES!$M:$M,MATCH(tbAREAS[[#This Row],[TIPO DE ÁREA]],PRODUTIVIDADES!$B:$B,0)+MATCH(tbAREAS[[#This Row],[LOCALIDADE]],PRODUTIVIDADES!$A:$A,0)-3)*tbAREAS[[#This Row],[ÁREA EM M²]]</f>
        <v>8.1219999999999999</v>
      </c>
      <c r="L1091" s="391"/>
    </row>
    <row r="1092" spans="1:12" hidden="1" x14ac:dyDescent="0.25">
      <c r="A1092" s="228" t="s">
        <v>33</v>
      </c>
      <c r="B1092" s="234" t="s">
        <v>123</v>
      </c>
      <c r="C1092" s="230" t="s">
        <v>400</v>
      </c>
      <c r="D1092" s="230"/>
      <c r="E1092" s="229" t="s">
        <v>16</v>
      </c>
      <c r="F1092" s="231">
        <v>27</v>
      </c>
      <c r="G1092" s="229" t="s">
        <v>1</v>
      </c>
      <c r="H1092" s="405">
        <f ca="1">INDEX(PRODUTIVIDADES!$M:$M,MATCH(tbAREAS[[#This Row],[TIPO DE ÁREA]],PRODUTIVIDADES!$B:$B,0)+MATCH(tbAREAS[[#This Row],[LOCALIDADE]],PRODUTIVIDADES!$A:$A,0)-3)*tbAREAS[[#This Row],[ÁREA EM M²]]</f>
        <v>18.899999999999999</v>
      </c>
      <c r="L1092" s="391"/>
    </row>
    <row r="1093" spans="1:12" hidden="1" x14ac:dyDescent="0.25">
      <c r="A1093" s="228" t="s">
        <v>33</v>
      </c>
      <c r="B1093" s="234" t="s">
        <v>123</v>
      </c>
      <c r="C1093" s="230" t="s">
        <v>400</v>
      </c>
      <c r="D1093" s="230"/>
      <c r="E1093" s="229" t="s">
        <v>17</v>
      </c>
      <c r="F1093" s="231">
        <v>97.74</v>
      </c>
      <c r="G1093" s="229" t="s">
        <v>1</v>
      </c>
      <c r="H1093" s="405">
        <f ca="1">INDEX(PRODUTIVIDADES!$M:$M,MATCH(tbAREAS[[#This Row],[TIPO DE ÁREA]],PRODUTIVIDADES!$B:$B,0)+MATCH(tbAREAS[[#This Row],[LOCALIDADE]],PRODUTIVIDADES!$A:$A,0)-3)*tbAREAS[[#This Row],[ÁREA EM M²]]</f>
        <v>205.25399999999999</v>
      </c>
      <c r="L1093" s="391"/>
    </row>
    <row r="1094" spans="1:12" hidden="1" x14ac:dyDescent="0.25">
      <c r="A1094" s="228" t="s">
        <v>33</v>
      </c>
      <c r="B1094" s="234" t="s">
        <v>123</v>
      </c>
      <c r="C1094" s="230" t="s">
        <v>400</v>
      </c>
      <c r="D1094" s="230"/>
      <c r="E1094" s="229" t="s">
        <v>20</v>
      </c>
      <c r="F1094" s="231">
        <v>29.96</v>
      </c>
      <c r="G1094" s="229" t="s">
        <v>1</v>
      </c>
      <c r="H1094" s="405">
        <f ca="1">INDEX(PRODUTIVIDADES!$M:$M,MATCH(tbAREAS[[#This Row],[TIPO DE ÁREA]],PRODUTIVIDADES!$B:$B,0)+MATCH(tbAREAS[[#This Row],[LOCALIDADE]],PRODUTIVIDADES!$A:$A,0)-3)*tbAREAS[[#This Row],[ÁREA EM M²]]</f>
        <v>20.971999999999998</v>
      </c>
      <c r="L1094" s="391"/>
    </row>
    <row r="1095" spans="1:12" hidden="1" x14ac:dyDescent="0.25">
      <c r="A1095" s="228" t="s">
        <v>33</v>
      </c>
      <c r="B1095" s="234" t="s">
        <v>123</v>
      </c>
      <c r="C1095" s="230" t="s">
        <v>400</v>
      </c>
      <c r="D1095" s="230"/>
      <c r="E1095" s="229" t="s">
        <v>21</v>
      </c>
      <c r="F1095" s="231">
        <v>8.41</v>
      </c>
      <c r="G1095" s="229" t="s">
        <v>1</v>
      </c>
      <c r="H1095" s="405">
        <f ca="1">INDEX(PRODUTIVIDADES!$M:$M,MATCH(tbAREAS[[#This Row],[TIPO DE ÁREA]],PRODUTIVIDADES!$B:$B,0)+MATCH(tbAREAS[[#This Row],[LOCALIDADE]],PRODUTIVIDADES!$A:$A,0)-3)*tbAREAS[[#This Row],[ÁREA EM M²]]</f>
        <v>1.4297000000000002</v>
      </c>
      <c r="L1095" s="391"/>
    </row>
    <row r="1096" spans="1:12" hidden="1" x14ac:dyDescent="0.25">
      <c r="A1096" s="228" t="s">
        <v>33</v>
      </c>
      <c r="B1096" s="234" t="s">
        <v>123</v>
      </c>
      <c r="C1096" s="230" t="s">
        <v>400</v>
      </c>
      <c r="D1096" s="230"/>
      <c r="E1096" s="229" t="s">
        <v>22</v>
      </c>
      <c r="F1096" s="231">
        <v>8.41</v>
      </c>
      <c r="G1096" s="229" t="s">
        <v>1</v>
      </c>
      <c r="H1096" s="405">
        <f ca="1">INDEX(PRODUTIVIDADES!$M:$M,MATCH(tbAREAS[[#This Row],[TIPO DE ÁREA]],PRODUTIVIDADES!$B:$B,0)+MATCH(tbAREAS[[#This Row],[LOCALIDADE]],PRODUTIVIDADES!$A:$A,0)-3)*tbAREAS[[#This Row],[ÁREA EM M²]]</f>
        <v>3.3640000000000003</v>
      </c>
      <c r="L1096" s="391"/>
    </row>
    <row r="1097" spans="1:12" hidden="1" x14ac:dyDescent="0.25">
      <c r="A1097" s="228" t="s">
        <v>33</v>
      </c>
      <c r="B1097" s="234" t="s">
        <v>123</v>
      </c>
      <c r="C1097" s="230" t="s">
        <v>401</v>
      </c>
      <c r="D1097" s="230"/>
      <c r="E1097" s="229" t="s">
        <v>10</v>
      </c>
      <c r="F1097" s="231">
        <v>14.89</v>
      </c>
      <c r="G1097" s="229" t="s">
        <v>1</v>
      </c>
      <c r="H1097" s="405">
        <f ca="1">INDEX(PRODUTIVIDADES!$M:$M,MATCH(tbAREAS[[#This Row],[TIPO DE ÁREA]],PRODUTIVIDADES!$B:$B,0)+MATCH(tbAREAS[[#This Row],[LOCALIDADE]],PRODUTIVIDADES!$A:$A,0)-3)*tbAREAS[[#This Row],[ÁREA EM M²]]</f>
        <v>41.840900000000005</v>
      </c>
      <c r="L1097" s="391"/>
    </row>
    <row r="1098" spans="1:12" hidden="1" x14ac:dyDescent="0.25">
      <c r="A1098" s="228" t="s">
        <v>33</v>
      </c>
      <c r="B1098" s="234" t="s">
        <v>123</v>
      </c>
      <c r="C1098" s="230" t="s">
        <v>401</v>
      </c>
      <c r="D1098" s="230"/>
      <c r="E1098" s="229" t="s">
        <v>15</v>
      </c>
      <c r="F1098" s="231">
        <v>16.37</v>
      </c>
      <c r="G1098" s="229" t="s">
        <v>1</v>
      </c>
      <c r="H1098" s="405">
        <f ca="1">INDEX(PRODUTIVIDADES!$M:$M,MATCH(tbAREAS[[#This Row],[TIPO DE ÁREA]],PRODUTIVIDADES!$B:$B,0)+MATCH(tbAREAS[[#This Row],[LOCALIDADE]],PRODUTIVIDADES!$A:$A,0)-3)*tbAREAS[[#This Row],[ÁREA EM M²]]</f>
        <v>10.1494</v>
      </c>
      <c r="L1098" s="391"/>
    </row>
    <row r="1099" spans="1:12" hidden="1" x14ac:dyDescent="0.25">
      <c r="A1099" s="228" t="s">
        <v>33</v>
      </c>
      <c r="B1099" s="234" t="s">
        <v>123</v>
      </c>
      <c r="C1099" s="230" t="s">
        <v>401</v>
      </c>
      <c r="D1099" s="230"/>
      <c r="E1099" s="229" t="s">
        <v>17</v>
      </c>
      <c r="F1099" s="231">
        <v>256.64999999999998</v>
      </c>
      <c r="G1099" s="229" t="s">
        <v>1</v>
      </c>
      <c r="H1099" s="405">
        <f ca="1">INDEX(PRODUTIVIDADES!$M:$M,MATCH(tbAREAS[[#This Row],[TIPO DE ÁREA]],PRODUTIVIDADES!$B:$B,0)+MATCH(tbAREAS[[#This Row],[LOCALIDADE]],PRODUTIVIDADES!$A:$A,0)-3)*tbAREAS[[#This Row],[ÁREA EM M²]]</f>
        <v>538.96500000000003</v>
      </c>
      <c r="L1099" s="391"/>
    </row>
    <row r="1100" spans="1:12" hidden="1" x14ac:dyDescent="0.25">
      <c r="A1100" s="228" t="s">
        <v>33</v>
      </c>
      <c r="B1100" s="234" t="s">
        <v>123</v>
      </c>
      <c r="C1100" s="230" t="s">
        <v>401</v>
      </c>
      <c r="D1100" s="230"/>
      <c r="E1100" s="229" t="s">
        <v>18</v>
      </c>
      <c r="F1100" s="231">
        <v>2.92</v>
      </c>
      <c r="G1100" s="229" t="s">
        <v>1</v>
      </c>
      <c r="H1100" s="405">
        <f ca="1">INDEX(PRODUTIVIDADES!$M:$M,MATCH(tbAREAS[[#This Row],[TIPO DE ÁREA]],PRODUTIVIDADES!$B:$B,0)+MATCH(tbAREAS[[#This Row],[LOCALIDADE]],PRODUTIVIDADES!$A:$A,0)-3)*tbAREAS[[#This Row],[ÁREA EM M²]]</f>
        <v>119.282</v>
      </c>
      <c r="L1100" s="391"/>
    </row>
    <row r="1101" spans="1:12" hidden="1" x14ac:dyDescent="0.25">
      <c r="A1101" s="228" t="s">
        <v>33</v>
      </c>
      <c r="B1101" s="234" t="s">
        <v>123</v>
      </c>
      <c r="C1101" s="230" t="s">
        <v>401</v>
      </c>
      <c r="D1101" s="230"/>
      <c r="E1101" s="229" t="s">
        <v>20</v>
      </c>
      <c r="F1101" s="231">
        <v>153.28</v>
      </c>
      <c r="G1101" s="229" t="s">
        <v>1</v>
      </c>
      <c r="H1101" s="405">
        <f ca="1">INDEX(PRODUTIVIDADES!$M:$M,MATCH(tbAREAS[[#This Row],[TIPO DE ÁREA]],PRODUTIVIDADES!$B:$B,0)+MATCH(tbAREAS[[#This Row],[LOCALIDADE]],PRODUTIVIDADES!$A:$A,0)-3)*tbAREAS[[#This Row],[ÁREA EM M²]]</f>
        <v>107.29599999999999</v>
      </c>
      <c r="L1101" s="391"/>
    </row>
    <row r="1102" spans="1:12" hidden="1" x14ac:dyDescent="0.25">
      <c r="A1102" s="228" t="s">
        <v>33</v>
      </c>
      <c r="B1102" s="234" t="s">
        <v>123</v>
      </c>
      <c r="C1102" s="230" t="s">
        <v>401</v>
      </c>
      <c r="D1102" s="230"/>
      <c r="E1102" s="229" t="s">
        <v>21</v>
      </c>
      <c r="F1102" s="231">
        <v>75.3</v>
      </c>
      <c r="G1102" s="229" t="s">
        <v>1</v>
      </c>
      <c r="H1102" s="405">
        <f ca="1">INDEX(PRODUTIVIDADES!$M:$M,MATCH(tbAREAS[[#This Row],[TIPO DE ÁREA]],PRODUTIVIDADES!$B:$B,0)+MATCH(tbAREAS[[#This Row],[LOCALIDADE]],PRODUTIVIDADES!$A:$A,0)-3)*tbAREAS[[#This Row],[ÁREA EM M²]]</f>
        <v>12.801</v>
      </c>
      <c r="L1102" s="391"/>
    </row>
    <row r="1103" spans="1:12" hidden="1" x14ac:dyDescent="0.25">
      <c r="A1103" s="228" t="s">
        <v>33</v>
      </c>
      <c r="B1103" s="234" t="s">
        <v>123</v>
      </c>
      <c r="C1103" s="230" t="s">
        <v>401</v>
      </c>
      <c r="D1103" s="230"/>
      <c r="E1103" s="229" t="s">
        <v>22</v>
      </c>
      <c r="F1103" s="231">
        <v>75.3</v>
      </c>
      <c r="G1103" s="229" t="s">
        <v>1</v>
      </c>
      <c r="H1103" s="405">
        <f ca="1">INDEX(PRODUTIVIDADES!$M:$M,MATCH(tbAREAS[[#This Row],[TIPO DE ÁREA]],PRODUTIVIDADES!$B:$B,0)+MATCH(tbAREAS[[#This Row],[LOCALIDADE]],PRODUTIVIDADES!$A:$A,0)-3)*tbAREAS[[#This Row],[ÁREA EM M²]]</f>
        <v>30.12</v>
      </c>
      <c r="L1103" s="391"/>
    </row>
    <row r="1104" spans="1:12" hidden="1" x14ac:dyDescent="0.25">
      <c r="A1104" s="228" t="s">
        <v>33</v>
      </c>
      <c r="B1104" s="234" t="s">
        <v>123</v>
      </c>
      <c r="C1104" s="230" t="s">
        <v>402</v>
      </c>
      <c r="D1104" s="230"/>
      <c r="E1104" s="229" t="s">
        <v>10</v>
      </c>
      <c r="F1104" s="231">
        <v>142.58000000000001</v>
      </c>
      <c r="G1104" s="229" t="s">
        <v>1</v>
      </c>
      <c r="H1104" s="405">
        <f ca="1">INDEX(PRODUTIVIDADES!$M:$M,MATCH(tbAREAS[[#This Row],[TIPO DE ÁREA]],PRODUTIVIDADES!$B:$B,0)+MATCH(tbAREAS[[#This Row],[LOCALIDADE]],PRODUTIVIDADES!$A:$A,0)-3)*tbAREAS[[#This Row],[ÁREA EM M²]]</f>
        <v>400.64980000000003</v>
      </c>
      <c r="L1104" s="391"/>
    </row>
    <row r="1105" spans="1:12" hidden="1" x14ac:dyDescent="0.25">
      <c r="A1105" s="228" t="s">
        <v>33</v>
      </c>
      <c r="B1105" s="234" t="s">
        <v>123</v>
      </c>
      <c r="C1105" s="230" t="s">
        <v>402</v>
      </c>
      <c r="D1105" s="230"/>
      <c r="E1105" s="229" t="s">
        <v>15</v>
      </c>
      <c r="F1105" s="231">
        <v>2.0299999999999998</v>
      </c>
      <c r="G1105" s="229" t="s">
        <v>1</v>
      </c>
      <c r="H1105" s="405">
        <f ca="1">INDEX(PRODUTIVIDADES!$M:$M,MATCH(tbAREAS[[#This Row],[TIPO DE ÁREA]],PRODUTIVIDADES!$B:$B,0)+MATCH(tbAREAS[[#This Row],[LOCALIDADE]],PRODUTIVIDADES!$A:$A,0)-3)*tbAREAS[[#This Row],[ÁREA EM M²]]</f>
        <v>1.2585999999999999</v>
      </c>
      <c r="L1105" s="391"/>
    </row>
    <row r="1106" spans="1:12" hidden="1" x14ac:dyDescent="0.25">
      <c r="A1106" s="228" t="s">
        <v>33</v>
      </c>
      <c r="B1106" s="234" t="s">
        <v>123</v>
      </c>
      <c r="C1106" s="230" t="s">
        <v>402</v>
      </c>
      <c r="D1106" s="230"/>
      <c r="E1106" s="229" t="s">
        <v>17</v>
      </c>
      <c r="F1106" s="231">
        <v>76.33</v>
      </c>
      <c r="G1106" s="229" t="s">
        <v>1</v>
      </c>
      <c r="H1106" s="405">
        <f ca="1">INDEX(PRODUTIVIDADES!$M:$M,MATCH(tbAREAS[[#This Row],[TIPO DE ÁREA]],PRODUTIVIDADES!$B:$B,0)+MATCH(tbAREAS[[#This Row],[LOCALIDADE]],PRODUTIVIDADES!$A:$A,0)-3)*tbAREAS[[#This Row],[ÁREA EM M²]]</f>
        <v>160.29300000000001</v>
      </c>
      <c r="L1106" s="391"/>
    </row>
    <row r="1107" spans="1:12" hidden="1" x14ac:dyDescent="0.25">
      <c r="A1107" s="228" t="s">
        <v>33</v>
      </c>
      <c r="B1107" s="234" t="s">
        <v>123</v>
      </c>
      <c r="C1107" s="230" t="s">
        <v>402</v>
      </c>
      <c r="D1107" s="230"/>
      <c r="E1107" s="229" t="s">
        <v>18</v>
      </c>
      <c r="F1107" s="231">
        <v>8.76</v>
      </c>
      <c r="G1107" s="229" t="s">
        <v>1</v>
      </c>
      <c r="H1107" s="405">
        <f ca="1">INDEX(PRODUTIVIDADES!$M:$M,MATCH(tbAREAS[[#This Row],[TIPO DE ÁREA]],PRODUTIVIDADES!$B:$B,0)+MATCH(tbAREAS[[#This Row],[LOCALIDADE]],PRODUTIVIDADES!$A:$A,0)-3)*tbAREAS[[#This Row],[ÁREA EM M²]]</f>
        <v>357.846</v>
      </c>
      <c r="L1107" s="391"/>
    </row>
    <row r="1108" spans="1:12" hidden="1" x14ac:dyDescent="0.25">
      <c r="A1108" s="228" t="s">
        <v>33</v>
      </c>
      <c r="B1108" s="234" t="s">
        <v>123</v>
      </c>
      <c r="C1108" s="230" t="s">
        <v>402</v>
      </c>
      <c r="D1108" s="230"/>
      <c r="E1108" s="229" t="s">
        <v>20</v>
      </c>
      <c r="F1108" s="231">
        <v>86.83</v>
      </c>
      <c r="G1108" s="229" t="s">
        <v>1</v>
      </c>
      <c r="H1108" s="405">
        <f ca="1">INDEX(PRODUTIVIDADES!$M:$M,MATCH(tbAREAS[[#This Row],[TIPO DE ÁREA]],PRODUTIVIDADES!$B:$B,0)+MATCH(tbAREAS[[#This Row],[LOCALIDADE]],PRODUTIVIDADES!$A:$A,0)-3)*tbAREAS[[#This Row],[ÁREA EM M²]]</f>
        <v>60.780999999999992</v>
      </c>
      <c r="L1108" s="391"/>
    </row>
    <row r="1109" spans="1:12" hidden="1" x14ac:dyDescent="0.25">
      <c r="A1109" s="228" t="s">
        <v>33</v>
      </c>
      <c r="B1109" s="234" t="s">
        <v>123</v>
      </c>
      <c r="C1109" s="230" t="s">
        <v>402</v>
      </c>
      <c r="D1109" s="230"/>
      <c r="E1109" s="229" t="s">
        <v>21</v>
      </c>
      <c r="F1109" s="231">
        <v>24.7</v>
      </c>
      <c r="G1109" s="229" t="s">
        <v>1</v>
      </c>
      <c r="H1109" s="405">
        <f ca="1">INDEX(PRODUTIVIDADES!$M:$M,MATCH(tbAREAS[[#This Row],[TIPO DE ÁREA]],PRODUTIVIDADES!$B:$B,0)+MATCH(tbAREAS[[#This Row],[LOCALIDADE]],PRODUTIVIDADES!$A:$A,0)-3)*tbAREAS[[#This Row],[ÁREA EM M²]]</f>
        <v>4.1989999999999998</v>
      </c>
      <c r="L1109" s="391"/>
    </row>
    <row r="1110" spans="1:12" hidden="1" x14ac:dyDescent="0.25">
      <c r="A1110" s="228" t="s">
        <v>33</v>
      </c>
      <c r="B1110" s="234" t="s">
        <v>123</v>
      </c>
      <c r="C1110" s="230" t="s">
        <v>402</v>
      </c>
      <c r="D1110" s="230"/>
      <c r="E1110" s="229" t="s">
        <v>22</v>
      </c>
      <c r="F1110" s="231">
        <v>24.7</v>
      </c>
      <c r="G1110" s="229" t="s">
        <v>1</v>
      </c>
      <c r="H1110" s="405">
        <f ca="1">INDEX(PRODUTIVIDADES!$M:$M,MATCH(tbAREAS[[#This Row],[TIPO DE ÁREA]],PRODUTIVIDADES!$B:$B,0)+MATCH(tbAREAS[[#This Row],[LOCALIDADE]],PRODUTIVIDADES!$A:$A,0)-3)*tbAREAS[[#This Row],[ÁREA EM M²]]</f>
        <v>9.8800000000000008</v>
      </c>
      <c r="L1110" s="391"/>
    </row>
    <row r="1111" spans="1:12" hidden="1" x14ac:dyDescent="0.25">
      <c r="A1111" s="228" t="s">
        <v>33</v>
      </c>
      <c r="B1111" s="234" t="s">
        <v>123</v>
      </c>
      <c r="C1111" s="230" t="s">
        <v>403</v>
      </c>
      <c r="D1111" s="230"/>
      <c r="E1111" s="229" t="s">
        <v>10</v>
      </c>
      <c r="F1111" s="231">
        <v>277.93</v>
      </c>
      <c r="G1111" s="229" t="s">
        <v>1</v>
      </c>
      <c r="H1111" s="405">
        <f ca="1">INDEX(PRODUTIVIDADES!$M:$M,MATCH(tbAREAS[[#This Row],[TIPO DE ÁREA]],PRODUTIVIDADES!$B:$B,0)+MATCH(tbAREAS[[#This Row],[LOCALIDADE]],PRODUTIVIDADES!$A:$A,0)-3)*tbAREAS[[#This Row],[ÁREA EM M²]]</f>
        <v>780.98329999999999</v>
      </c>
      <c r="L1111" s="391"/>
    </row>
    <row r="1112" spans="1:12" hidden="1" x14ac:dyDescent="0.25">
      <c r="A1112" s="228" t="s">
        <v>33</v>
      </c>
      <c r="B1112" s="234" t="s">
        <v>123</v>
      </c>
      <c r="C1112" s="230" t="s">
        <v>403</v>
      </c>
      <c r="D1112" s="230"/>
      <c r="E1112" s="229" t="s">
        <v>15</v>
      </c>
      <c r="F1112" s="231">
        <v>5.19</v>
      </c>
      <c r="G1112" s="229" t="s">
        <v>1</v>
      </c>
      <c r="H1112" s="405">
        <f ca="1">INDEX(PRODUTIVIDADES!$M:$M,MATCH(tbAREAS[[#This Row],[TIPO DE ÁREA]],PRODUTIVIDADES!$B:$B,0)+MATCH(tbAREAS[[#This Row],[LOCALIDADE]],PRODUTIVIDADES!$A:$A,0)-3)*tbAREAS[[#This Row],[ÁREA EM M²]]</f>
        <v>3.2178000000000004</v>
      </c>
      <c r="L1112" s="391"/>
    </row>
    <row r="1113" spans="1:12" hidden="1" x14ac:dyDescent="0.25">
      <c r="A1113" s="228" t="s">
        <v>33</v>
      </c>
      <c r="B1113" s="234" t="s">
        <v>123</v>
      </c>
      <c r="C1113" s="230" t="s">
        <v>403</v>
      </c>
      <c r="D1113" s="230"/>
      <c r="E1113" s="229" t="s">
        <v>17</v>
      </c>
      <c r="F1113" s="231">
        <v>137.01</v>
      </c>
      <c r="G1113" s="229" t="s">
        <v>1</v>
      </c>
      <c r="H1113" s="405">
        <f ca="1">INDEX(PRODUTIVIDADES!$M:$M,MATCH(tbAREAS[[#This Row],[TIPO DE ÁREA]],PRODUTIVIDADES!$B:$B,0)+MATCH(tbAREAS[[#This Row],[LOCALIDADE]],PRODUTIVIDADES!$A:$A,0)-3)*tbAREAS[[#This Row],[ÁREA EM M²]]</f>
        <v>287.721</v>
      </c>
      <c r="L1113" s="391"/>
    </row>
    <row r="1114" spans="1:12" hidden="1" x14ac:dyDescent="0.25">
      <c r="A1114" s="228" t="s">
        <v>33</v>
      </c>
      <c r="B1114" s="234" t="s">
        <v>123</v>
      </c>
      <c r="C1114" s="230" t="s">
        <v>403</v>
      </c>
      <c r="D1114" s="230"/>
      <c r="E1114" s="229" t="s">
        <v>18</v>
      </c>
      <c r="F1114" s="231">
        <v>18.440000000000001</v>
      </c>
      <c r="G1114" s="229" t="s">
        <v>1</v>
      </c>
      <c r="H1114" s="405">
        <f ca="1">INDEX(PRODUTIVIDADES!$M:$M,MATCH(tbAREAS[[#This Row],[TIPO DE ÁREA]],PRODUTIVIDADES!$B:$B,0)+MATCH(tbAREAS[[#This Row],[LOCALIDADE]],PRODUTIVIDADES!$A:$A,0)-3)*tbAREAS[[#This Row],[ÁREA EM M²]]</f>
        <v>753.27400000000011</v>
      </c>
      <c r="L1114" s="391"/>
    </row>
    <row r="1115" spans="1:12" hidden="1" x14ac:dyDescent="0.25">
      <c r="A1115" s="228" t="s">
        <v>33</v>
      </c>
      <c r="B1115" s="234" t="s">
        <v>123</v>
      </c>
      <c r="C1115" s="230" t="s">
        <v>403</v>
      </c>
      <c r="D1115" s="230"/>
      <c r="E1115" s="229" t="s">
        <v>21</v>
      </c>
      <c r="F1115" s="231">
        <v>46.35</v>
      </c>
      <c r="G1115" s="229" t="s">
        <v>1</v>
      </c>
      <c r="H1115" s="405">
        <f ca="1">INDEX(PRODUTIVIDADES!$M:$M,MATCH(tbAREAS[[#This Row],[TIPO DE ÁREA]],PRODUTIVIDADES!$B:$B,0)+MATCH(tbAREAS[[#This Row],[LOCALIDADE]],PRODUTIVIDADES!$A:$A,0)-3)*tbAREAS[[#This Row],[ÁREA EM M²]]</f>
        <v>7.8795000000000011</v>
      </c>
      <c r="L1115" s="391"/>
    </row>
    <row r="1116" spans="1:12" hidden="1" x14ac:dyDescent="0.25">
      <c r="A1116" s="228" t="s">
        <v>33</v>
      </c>
      <c r="B1116" s="234" t="s">
        <v>123</v>
      </c>
      <c r="C1116" s="230" t="s">
        <v>403</v>
      </c>
      <c r="D1116" s="230"/>
      <c r="E1116" s="229" t="s">
        <v>22</v>
      </c>
      <c r="F1116" s="231">
        <v>46.35</v>
      </c>
      <c r="G1116" s="229" t="s">
        <v>1</v>
      </c>
      <c r="H1116" s="405">
        <f ca="1">INDEX(PRODUTIVIDADES!$M:$M,MATCH(tbAREAS[[#This Row],[TIPO DE ÁREA]],PRODUTIVIDADES!$B:$B,0)+MATCH(tbAREAS[[#This Row],[LOCALIDADE]],PRODUTIVIDADES!$A:$A,0)-3)*tbAREAS[[#This Row],[ÁREA EM M²]]</f>
        <v>18.540000000000003</v>
      </c>
      <c r="L1116" s="391"/>
    </row>
    <row r="1117" spans="1:12" hidden="1" x14ac:dyDescent="0.25">
      <c r="A1117" s="228" t="s">
        <v>33</v>
      </c>
      <c r="B1117" s="234" t="s">
        <v>123</v>
      </c>
      <c r="C1117" s="230" t="s">
        <v>404</v>
      </c>
      <c r="D1117" s="230"/>
      <c r="E1117" s="229" t="s">
        <v>9</v>
      </c>
      <c r="F1117" s="231">
        <v>430.32</v>
      </c>
      <c r="G1117" s="229" t="s">
        <v>1</v>
      </c>
      <c r="H1117" s="405">
        <f ca="1">INDEX(PRODUTIVIDADES!$M:$M,MATCH(tbAREAS[[#This Row],[TIPO DE ÁREA]],PRODUTIVIDADES!$B:$B,0)+MATCH(tbAREAS[[#This Row],[LOCALIDADE]],PRODUTIVIDADES!$A:$A,0)-3)*tbAREAS[[#This Row],[ÁREA EM M²]]</f>
        <v>3326.3736000000004</v>
      </c>
      <c r="L1117" s="391"/>
    </row>
    <row r="1118" spans="1:12" hidden="1" x14ac:dyDescent="0.25">
      <c r="A1118" s="228" t="s">
        <v>33</v>
      </c>
      <c r="B1118" s="234" t="s">
        <v>123</v>
      </c>
      <c r="C1118" s="230" t="s">
        <v>404</v>
      </c>
      <c r="D1118" s="230"/>
      <c r="E1118" s="229" t="s">
        <v>10</v>
      </c>
      <c r="F1118" s="231">
        <v>9.31</v>
      </c>
      <c r="G1118" s="229" t="s">
        <v>1</v>
      </c>
      <c r="H1118" s="405">
        <f ca="1">INDEX(PRODUTIVIDADES!$M:$M,MATCH(tbAREAS[[#This Row],[TIPO DE ÁREA]],PRODUTIVIDADES!$B:$B,0)+MATCH(tbAREAS[[#This Row],[LOCALIDADE]],PRODUTIVIDADES!$A:$A,0)-3)*tbAREAS[[#This Row],[ÁREA EM M²]]</f>
        <v>26.161100000000001</v>
      </c>
      <c r="L1118" s="391"/>
    </row>
    <row r="1119" spans="1:12" hidden="1" x14ac:dyDescent="0.25">
      <c r="A1119" s="228" t="s">
        <v>33</v>
      </c>
      <c r="B1119" s="234" t="s">
        <v>123</v>
      </c>
      <c r="C1119" s="230" t="s">
        <v>404</v>
      </c>
      <c r="D1119" s="230"/>
      <c r="E1119" s="229" t="s">
        <v>14</v>
      </c>
      <c r="F1119" s="231">
        <v>231.04</v>
      </c>
      <c r="G1119" s="229" t="s">
        <v>1</v>
      </c>
      <c r="H1119" s="405">
        <f ca="1">INDEX(PRODUTIVIDADES!$M:$M,MATCH(tbAREAS[[#This Row],[TIPO DE ÁREA]],PRODUTIVIDADES!$B:$B,0)+MATCH(tbAREAS[[#This Row],[LOCALIDADE]],PRODUTIVIDADES!$A:$A,0)-3)*tbAREAS[[#This Row],[ÁREA EM M²]]</f>
        <v>1769.7664</v>
      </c>
      <c r="L1119" s="391"/>
    </row>
    <row r="1120" spans="1:12" hidden="1" x14ac:dyDescent="0.25">
      <c r="A1120" s="228" t="s">
        <v>33</v>
      </c>
      <c r="B1120" s="234" t="s">
        <v>123</v>
      </c>
      <c r="C1120" s="230" t="s">
        <v>404</v>
      </c>
      <c r="D1120" s="230"/>
      <c r="E1120" s="229" t="s">
        <v>15</v>
      </c>
      <c r="F1120" s="231">
        <v>8.2799999999999994</v>
      </c>
      <c r="G1120" s="229" t="s">
        <v>1</v>
      </c>
      <c r="H1120" s="405">
        <f ca="1">INDEX(PRODUTIVIDADES!$M:$M,MATCH(tbAREAS[[#This Row],[TIPO DE ÁREA]],PRODUTIVIDADES!$B:$B,0)+MATCH(tbAREAS[[#This Row],[LOCALIDADE]],PRODUTIVIDADES!$A:$A,0)-3)*tbAREAS[[#This Row],[ÁREA EM M²]]</f>
        <v>5.1335999999999995</v>
      </c>
      <c r="L1120" s="391"/>
    </row>
    <row r="1121" spans="1:12" hidden="1" x14ac:dyDescent="0.25">
      <c r="A1121" s="228" t="s">
        <v>33</v>
      </c>
      <c r="B1121" s="234" t="s">
        <v>123</v>
      </c>
      <c r="C1121" s="230" t="s">
        <v>404</v>
      </c>
      <c r="D1121" s="230"/>
      <c r="E1121" s="229" t="s">
        <v>17</v>
      </c>
      <c r="F1121" s="231">
        <v>219.57</v>
      </c>
      <c r="G1121" s="229" t="s">
        <v>1</v>
      </c>
      <c r="H1121" s="405">
        <f ca="1">INDEX(PRODUTIVIDADES!$M:$M,MATCH(tbAREAS[[#This Row],[TIPO DE ÁREA]],PRODUTIVIDADES!$B:$B,0)+MATCH(tbAREAS[[#This Row],[LOCALIDADE]],PRODUTIVIDADES!$A:$A,0)-3)*tbAREAS[[#This Row],[ÁREA EM M²]]</f>
        <v>461.09699999999998</v>
      </c>
      <c r="L1121" s="391"/>
    </row>
    <row r="1122" spans="1:12" hidden="1" x14ac:dyDescent="0.25">
      <c r="A1122" s="228" t="s">
        <v>33</v>
      </c>
      <c r="B1122" s="234" t="s">
        <v>123</v>
      </c>
      <c r="C1122" s="230" t="s">
        <v>404</v>
      </c>
      <c r="D1122" s="230"/>
      <c r="E1122" s="229" t="s">
        <v>18</v>
      </c>
      <c r="F1122" s="231">
        <v>28.92</v>
      </c>
      <c r="G1122" s="229" t="s">
        <v>1</v>
      </c>
      <c r="H1122" s="405">
        <f ca="1">INDEX(PRODUTIVIDADES!$M:$M,MATCH(tbAREAS[[#This Row],[TIPO DE ÁREA]],PRODUTIVIDADES!$B:$B,0)+MATCH(tbAREAS[[#This Row],[LOCALIDADE]],PRODUTIVIDADES!$A:$A,0)-3)*tbAREAS[[#This Row],[ÁREA EM M²]]</f>
        <v>1181.3820000000001</v>
      </c>
      <c r="L1122" s="391"/>
    </row>
    <row r="1123" spans="1:12" hidden="1" x14ac:dyDescent="0.25">
      <c r="A1123" s="228" t="s">
        <v>33</v>
      </c>
      <c r="B1123" s="234" t="s">
        <v>123</v>
      </c>
      <c r="C1123" s="230" t="s">
        <v>404</v>
      </c>
      <c r="D1123" s="230"/>
      <c r="E1123" s="229" t="s">
        <v>20</v>
      </c>
      <c r="F1123" s="231">
        <v>67.599999999999994</v>
      </c>
      <c r="G1123" s="229" t="s">
        <v>1</v>
      </c>
      <c r="H1123" s="405">
        <f ca="1">INDEX(PRODUTIVIDADES!$M:$M,MATCH(tbAREAS[[#This Row],[TIPO DE ÁREA]],PRODUTIVIDADES!$B:$B,0)+MATCH(tbAREAS[[#This Row],[LOCALIDADE]],PRODUTIVIDADES!$A:$A,0)-3)*tbAREAS[[#This Row],[ÁREA EM M²]]</f>
        <v>47.319999999999993</v>
      </c>
      <c r="L1123" s="391"/>
    </row>
    <row r="1124" spans="1:12" hidden="1" x14ac:dyDescent="0.25">
      <c r="A1124" s="228" t="s">
        <v>33</v>
      </c>
      <c r="B1124" s="234" t="s">
        <v>123</v>
      </c>
      <c r="C1124" s="230" t="s">
        <v>404</v>
      </c>
      <c r="D1124" s="230"/>
      <c r="E1124" s="229" t="s">
        <v>21</v>
      </c>
      <c r="F1124" s="231">
        <v>114.89</v>
      </c>
      <c r="G1124" s="229" t="s">
        <v>1</v>
      </c>
      <c r="H1124" s="405">
        <f ca="1">INDEX(PRODUTIVIDADES!$M:$M,MATCH(tbAREAS[[#This Row],[TIPO DE ÁREA]],PRODUTIVIDADES!$B:$B,0)+MATCH(tbAREAS[[#This Row],[LOCALIDADE]],PRODUTIVIDADES!$A:$A,0)-3)*tbAREAS[[#This Row],[ÁREA EM M²]]</f>
        <v>19.531300000000002</v>
      </c>
      <c r="L1124" s="391"/>
    </row>
    <row r="1125" spans="1:12" hidden="1" x14ac:dyDescent="0.25">
      <c r="A1125" s="228" t="s">
        <v>33</v>
      </c>
      <c r="B1125" s="234" t="s">
        <v>123</v>
      </c>
      <c r="C1125" s="230" t="s">
        <v>404</v>
      </c>
      <c r="D1125" s="230"/>
      <c r="E1125" s="229" t="s">
        <v>22</v>
      </c>
      <c r="F1125" s="231">
        <v>114.89</v>
      </c>
      <c r="G1125" s="229" t="s">
        <v>1</v>
      </c>
      <c r="H1125" s="405">
        <f ca="1">INDEX(PRODUTIVIDADES!$M:$M,MATCH(tbAREAS[[#This Row],[TIPO DE ÁREA]],PRODUTIVIDADES!$B:$B,0)+MATCH(tbAREAS[[#This Row],[LOCALIDADE]],PRODUTIVIDADES!$A:$A,0)-3)*tbAREAS[[#This Row],[ÁREA EM M²]]</f>
        <v>45.956000000000003</v>
      </c>
      <c r="L1125" s="391"/>
    </row>
    <row r="1126" spans="1:12" hidden="1" x14ac:dyDescent="0.25">
      <c r="A1126" s="228" t="s">
        <v>33</v>
      </c>
      <c r="B1126" s="234" t="s">
        <v>123</v>
      </c>
      <c r="C1126" s="230" t="s">
        <v>405</v>
      </c>
      <c r="D1126" s="230"/>
      <c r="E1126" s="229" t="s">
        <v>10</v>
      </c>
      <c r="F1126" s="231">
        <v>6.13</v>
      </c>
      <c r="G1126" s="229" t="s">
        <v>1</v>
      </c>
      <c r="H1126" s="405">
        <f ca="1">INDEX(PRODUTIVIDADES!$M:$M,MATCH(tbAREAS[[#This Row],[TIPO DE ÁREA]],PRODUTIVIDADES!$B:$B,0)+MATCH(tbAREAS[[#This Row],[LOCALIDADE]],PRODUTIVIDADES!$A:$A,0)-3)*tbAREAS[[#This Row],[ÁREA EM M²]]</f>
        <v>17.225300000000001</v>
      </c>
      <c r="L1126" s="391"/>
    </row>
    <row r="1127" spans="1:12" hidden="1" x14ac:dyDescent="0.25">
      <c r="A1127" s="228" t="s">
        <v>33</v>
      </c>
      <c r="B1127" s="234" t="s">
        <v>123</v>
      </c>
      <c r="C1127" s="230" t="s">
        <v>405</v>
      </c>
      <c r="D1127" s="230"/>
      <c r="E1127" s="229" t="s">
        <v>15</v>
      </c>
      <c r="F1127" s="231">
        <v>345.78</v>
      </c>
      <c r="G1127" s="229" t="s">
        <v>1</v>
      </c>
      <c r="H1127" s="405">
        <f ca="1">INDEX(PRODUTIVIDADES!$M:$M,MATCH(tbAREAS[[#This Row],[TIPO DE ÁREA]],PRODUTIVIDADES!$B:$B,0)+MATCH(tbAREAS[[#This Row],[LOCALIDADE]],PRODUTIVIDADES!$A:$A,0)-3)*tbAREAS[[#This Row],[ÁREA EM M²]]</f>
        <v>214.38359999999997</v>
      </c>
      <c r="L1127" s="391"/>
    </row>
    <row r="1128" spans="1:12" hidden="1" x14ac:dyDescent="0.25">
      <c r="A1128" s="228" t="s">
        <v>33</v>
      </c>
      <c r="B1128" s="234" t="s">
        <v>123</v>
      </c>
      <c r="C1128" s="230" t="s">
        <v>405</v>
      </c>
      <c r="D1128" s="230"/>
      <c r="E1128" s="229" t="s">
        <v>21</v>
      </c>
      <c r="F1128" s="231">
        <v>22.44</v>
      </c>
      <c r="G1128" s="229" t="s">
        <v>1</v>
      </c>
      <c r="H1128" s="405">
        <f ca="1">INDEX(PRODUTIVIDADES!$M:$M,MATCH(tbAREAS[[#This Row],[TIPO DE ÁREA]],PRODUTIVIDADES!$B:$B,0)+MATCH(tbAREAS[[#This Row],[LOCALIDADE]],PRODUTIVIDADES!$A:$A,0)-3)*tbAREAS[[#This Row],[ÁREA EM M²]]</f>
        <v>3.8148000000000004</v>
      </c>
      <c r="L1128" s="391"/>
    </row>
    <row r="1129" spans="1:12" hidden="1" x14ac:dyDescent="0.25">
      <c r="A1129" s="228" t="s">
        <v>33</v>
      </c>
      <c r="B1129" s="234" t="s">
        <v>123</v>
      </c>
      <c r="C1129" s="230" t="s">
        <v>405</v>
      </c>
      <c r="D1129" s="230"/>
      <c r="E1129" s="229" t="s">
        <v>22</v>
      </c>
      <c r="F1129" s="231">
        <v>22.44</v>
      </c>
      <c r="G1129" s="229" t="s">
        <v>1</v>
      </c>
      <c r="H1129" s="405">
        <f ca="1">INDEX(PRODUTIVIDADES!$M:$M,MATCH(tbAREAS[[#This Row],[TIPO DE ÁREA]],PRODUTIVIDADES!$B:$B,0)+MATCH(tbAREAS[[#This Row],[LOCALIDADE]],PRODUTIVIDADES!$A:$A,0)-3)*tbAREAS[[#This Row],[ÁREA EM M²]]</f>
        <v>8.9760000000000009</v>
      </c>
      <c r="L1129" s="391"/>
    </row>
    <row r="1130" spans="1:12" hidden="1" x14ac:dyDescent="0.25">
      <c r="A1130" s="228" t="s">
        <v>33</v>
      </c>
      <c r="B1130" s="234" t="s">
        <v>123</v>
      </c>
      <c r="C1130" s="230" t="s">
        <v>406</v>
      </c>
      <c r="D1130" s="230"/>
      <c r="E1130" s="229" t="s">
        <v>10</v>
      </c>
      <c r="F1130" s="231">
        <v>38.450000000000003</v>
      </c>
      <c r="G1130" s="229" t="s">
        <v>1</v>
      </c>
      <c r="H1130" s="405">
        <f ca="1">INDEX(PRODUTIVIDADES!$M:$M,MATCH(tbAREAS[[#This Row],[TIPO DE ÁREA]],PRODUTIVIDADES!$B:$B,0)+MATCH(tbAREAS[[#This Row],[LOCALIDADE]],PRODUTIVIDADES!$A:$A,0)-3)*tbAREAS[[#This Row],[ÁREA EM M²]]</f>
        <v>108.04450000000001</v>
      </c>
      <c r="L1130" s="391"/>
    </row>
    <row r="1131" spans="1:12" hidden="1" x14ac:dyDescent="0.25">
      <c r="A1131" s="228" t="s">
        <v>33</v>
      </c>
      <c r="B1131" s="234" t="s">
        <v>123</v>
      </c>
      <c r="C1131" s="230" t="s">
        <v>406</v>
      </c>
      <c r="D1131" s="230"/>
      <c r="E1131" s="229" t="s">
        <v>15</v>
      </c>
      <c r="F1131" s="231">
        <v>178.84</v>
      </c>
      <c r="G1131" s="229" t="s">
        <v>1</v>
      </c>
      <c r="H1131" s="405">
        <f ca="1">INDEX(PRODUTIVIDADES!$M:$M,MATCH(tbAREAS[[#This Row],[TIPO DE ÁREA]],PRODUTIVIDADES!$B:$B,0)+MATCH(tbAREAS[[#This Row],[LOCALIDADE]],PRODUTIVIDADES!$A:$A,0)-3)*tbAREAS[[#This Row],[ÁREA EM M²]]</f>
        <v>110.88080000000001</v>
      </c>
      <c r="L1131" s="391"/>
    </row>
    <row r="1132" spans="1:12" hidden="1" x14ac:dyDescent="0.25">
      <c r="A1132" s="228" t="s">
        <v>33</v>
      </c>
      <c r="B1132" s="234" t="s">
        <v>123</v>
      </c>
      <c r="C1132" s="230" t="s">
        <v>406</v>
      </c>
      <c r="D1132" s="230"/>
      <c r="E1132" s="229" t="s">
        <v>17</v>
      </c>
      <c r="F1132" s="231">
        <v>12.22</v>
      </c>
      <c r="G1132" s="229" t="s">
        <v>1</v>
      </c>
      <c r="H1132" s="405">
        <f ca="1">INDEX(PRODUTIVIDADES!$M:$M,MATCH(tbAREAS[[#This Row],[TIPO DE ÁREA]],PRODUTIVIDADES!$B:$B,0)+MATCH(tbAREAS[[#This Row],[LOCALIDADE]],PRODUTIVIDADES!$A:$A,0)-3)*tbAREAS[[#This Row],[ÁREA EM M²]]</f>
        <v>25.662000000000003</v>
      </c>
      <c r="L1132" s="391"/>
    </row>
    <row r="1133" spans="1:12" hidden="1" x14ac:dyDescent="0.25">
      <c r="A1133" s="228" t="s">
        <v>33</v>
      </c>
      <c r="B1133" s="234" t="s">
        <v>123</v>
      </c>
      <c r="C1133" s="230" t="s">
        <v>406</v>
      </c>
      <c r="D1133" s="230"/>
      <c r="E1133" s="229" t="s">
        <v>18</v>
      </c>
      <c r="F1133" s="231">
        <v>28.04</v>
      </c>
      <c r="G1133" s="229" t="s">
        <v>1</v>
      </c>
      <c r="H1133" s="405">
        <f ca="1">INDEX(PRODUTIVIDADES!$M:$M,MATCH(tbAREAS[[#This Row],[TIPO DE ÁREA]],PRODUTIVIDADES!$B:$B,0)+MATCH(tbAREAS[[#This Row],[LOCALIDADE]],PRODUTIVIDADES!$A:$A,0)-3)*tbAREAS[[#This Row],[ÁREA EM M²]]</f>
        <v>1145.434</v>
      </c>
      <c r="L1133" s="391"/>
    </row>
    <row r="1134" spans="1:12" hidden="1" x14ac:dyDescent="0.25">
      <c r="A1134" s="228" t="s">
        <v>33</v>
      </c>
      <c r="B1134" s="234" t="s">
        <v>123</v>
      </c>
      <c r="C1134" s="230" t="s">
        <v>406</v>
      </c>
      <c r="D1134" s="230"/>
      <c r="E1134" s="229" t="s">
        <v>20</v>
      </c>
      <c r="F1134" s="231">
        <v>136.80000000000001</v>
      </c>
      <c r="G1134" s="229" t="s">
        <v>1</v>
      </c>
      <c r="H1134" s="405">
        <f ca="1">INDEX(PRODUTIVIDADES!$M:$M,MATCH(tbAREAS[[#This Row],[TIPO DE ÁREA]],PRODUTIVIDADES!$B:$B,0)+MATCH(tbAREAS[[#This Row],[LOCALIDADE]],PRODUTIVIDADES!$A:$A,0)-3)*tbAREAS[[#This Row],[ÁREA EM M²]]</f>
        <v>95.76</v>
      </c>
      <c r="L1134" s="391"/>
    </row>
    <row r="1135" spans="1:12" hidden="1" x14ac:dyDescent="0.25">
      <c r="A1135" s="228" t="s">
        <v>33</v>
      </c>
      <c r="B1135" s="234" t="s">
        <v>123</v>
      </c>
      <c r="C1135" s="230" t="s">
        <v>406</v>
      </c>
      <c r="D1135" s="230"/>
      <c r="E1135" s="229" t="s">
        <v>21</v>
      </c>
      <c r="F1135" s="231">
        <v>28.47</v>
      </c>
      <c r="G1135" s="229" t="s">
        <v>1</v>
      </c>
      <c r="H1135" s="405">
        <f ca="1">INDEX(PRODUTIVIDADES!$M:$M,MATCH(tbAREAS[[#This Row],[TIPO DE ÁREA]],PRODUTIVIDADES!$B:$B,0)+MATCH(tbAREAS[[#This Row],[LOCALIDADE]],PRODUTIVIDADES!$A:$A,0)-3)*tbAREAS[[#This Row],[ÁREA EM M²]]</f>
        <v>4.8399000000000001</v>
      </c>
      <c r="L1135" s="391"/>
    </row>
    <row r="1136" spans="1:12" hidden="1" x14ac:dyDescent="0.25">
      <c r="A1136" s="228" t="s">
        <v>33</v>
      </c>
      <c r="B1136" s="234" t="s">
        <v>123</v>
      </c>
      <c r="C1136" s="230" t="s">
        <v>406</v>
      </c>
      <c r="D1136" s="230"/>
      <c r="E1136" s="229" t="s">
        <v>22</v>
      </c>
      <c r="F1136" s="231">
        <v>28.47</v>
      </c>
      <c r="G1136" s="229" t="s">
        <v>1</v>
      </c>
      <c r="H1136" s="405">
        <f ca="1">INDEX(PRODUTIVIDADES!$M:$M,MATCH(tbAREAS[[#This Row],[TIPO DE ÁREA]],PRODUTIVIDADES!$B:$B,0)+MATCH(tbAREAS[[#This Row],[LOCALIDADE]],PRODUTIVIDADES!$A:$A,0)-3)*tbAREAS[[#This Row],[ÁREA EM M²]]</f>
        <v>11.388</v>
      </c>
      <c r="L1136" s="391"/>
    </row>
    <row r="1137" spans="1:12" hidden="1" x14ac:dyDescent="0.25">
      <c r="A1137" s="228" t="s">
        <v>35</v>
      </c>
      <c r="B1137" s="234" t="s">
        <v>407</v>
      </c>
      <c r="C1137" s="230" t="s">
        <v>408</v>
      </c>
      <c r="D1137" s="230" t="s">
        <v>409</v>
      </c>
      <c r="E1137" s="229" t="s">
        <v>9</v>
      </c>
      <c r="F1137" s="231">
        <v>378.45</v>
      </c>
      <c r="G1137" s="229" t="s">
        <v>1</v>
      </c>
      <c r="H1137" s="405">
        <f ca="1">INDEX(PRODUTIVIDADES!$M:$M,MATCH(tbAREAS[[#This Row],[TIPO DE ÁREA]],PRODUTIVIDADES!$B:$B,0)+MATCH(tbAREAS[[#This Row],[LOCALIDADE]],PRODUTIVIDADES!$A:$A,0)-3)*tbAREAS[[#This Row],[ÁREA EM M²]]</f>
        <v>2823.2370000000001</v>
      </c>
      <c r="L1137" s="391"/>
    </row>
    <row r="1138" spans="1:12" hidden="1" x14ac:dyDescent="0.25">
      <c r="A1138" s="228" t="s">
        <v>35</v>
      </c>
      <c r="B1138" s="234" t="s">
        <v>407</v>
      </c>
      <c r="C1138" s="230" t="s">
        <v>408</v>
      </c>
      <c r="D1138" s="230" t="s">
        <v>409</v>
      </c>
      <c r="E1138" s="229" t="s">
        <v>10</v>
      </c>
      <c r="F1138" s="231">
        <v>1129.0899999999999</v>
      </c>
      <c r="G1138" s="229" t="s">
        <v>1</v>
      </c>
      <c r="H1138" s="405">
        <f ca="1">INDEX(PRODUTIVIDADES!$M:$M,MATCH(tbAREAS[[#This Row],[TIPO DE ÁREA]],PRODUTIVIDADES!$B:$B,0)+MATCH(tbAREAS[[#This Row],[LOCALIDADE]],PRODUTIVIDADES!$A:$A,0)-3)*tbAREAS[[#This Row],[ÁREA EM M²]]</f>
        <v>3059.8338999999996</v>
      </c>
      <c r="L1138" s="391"/>
    </row>
    <row r="1139" spans="1:12" hidden="1" x14ac:dyDescent="0.25">
      <c r="A1139" s="228" t="s">
        <v>35</v>
      </c>
      <c r="B1139" s="234" t="s">
        <v>407</v>
      </c>
      <c r="C1139" s="230" t="s">
        <v>408</v>
      </c>
      <c r="D1139" s="230" t="s">
        <v>409</v>
      </c>
      <c r="E1139" s="229" t="s">
        <v>14</v>
      </c>
      <c r="F1139" s="231">
        <v>249.78</v>
      </c>
      <c r="G1139" s="229" t="s">
        <v>1</v>
      </c>
      <c r="H1139" s="405">
        <f ca="1">INDEX(PRODUTIVIDADES!$M:$M,MATCH(tbAREAS[[#This Row],[TIPO DE ÁREA]],PRODUTIVIDADES!$B:$B,0)+MATCH(tbAREAS[[#This Row],[LOCALIDADE]],PRODUTIVIDADES!$A:$A,0)-3)*tbAREAS[[#This Row],[ÁREA EM M²]]</f>
        <v>1845.8742</v>
      </c>
      <c r="L1139" s="391"/>
    </row>
    <row r="1140" spans="1:12" hidden="1" x14ac:dyDescent="0.25">
      <c r="A1140" s="228" t="s">
        <v>35</v>
      </c>
      <c r="B1140" s="234" t="s">
        <v>407</v>
      </c>
      <c r="C1140" s="230" t="s">
        <v>408</v>
      </c>
      <c r="D1140" s="230" t="s">
        <v>409</v>
      </c>
      <c r="E1140" s="229" t="s">
        <v>17</v>
      </c>
      <c r="F1140" s="231">
        <v>606.99</v>
      </c>
      <c r="G1140" s="229" t="s">
        <v>1</v>
      </c>
      <c r="H1140" s="405">
        <f ca="1">INDEX(PRODUTIVIDADES!$M:$M,MATCH(tbAREAS[[#This Row],[TIPO DE ÁREA]],PRODUTIVIDADES!$B:$B,0)+MATCH(tbAREAS[[#This Row],[LOCALIDADE]],PRODUTIVIDADES!$A:$A,0)-3)*tbAREAS[[#This Row],[ÁREA EM M²]]</f>
        <v>1232.1896999999999</v>
      </c>
      <c r="L1140" s="391"/>
    </row>
    <row r="1141" spans="1:12" hidden="1" x14ac:dyDescent="0.25">
      <c r="A1141" s="228" t="s">
        <v>35</v>
      </c>
      <c r="B1141" s="234" t="s">
        <v>407</v>
      </c>
      <c r="C1141" s="230" t="s">
        <v>408</v>
      </c>
      <c r="D1141" s="230" t="s">
        <v>409</v>
      </c>
      <c r="E1141" s="229" t="s">
        <v>18</v>
      </c>
      <c r="F1141" s="231">
        <v>91.32</v>
      </c>
      <c r="G1141" s="229" t="s">
        <v>1</v>
      </c>
      <c r="H1141" s="405">
        <f ca="1">INDEX(PRODUTIVIDADES!$M:$M,MATCH(tbAREAS[[#This Row],[TIPO DE ÁREA]],PRODUTIVIDADES!$B:$B,0)+MATCH(tbAREAS[[#This Row],[LOCALIDADE]],PRODUTIVIDADES!$A:$A,0)-3)*tbAREAS[[#This Row],[ÁREA EM M²]]</f>
        <v>3615.3588</v>
      </c>
      <c r="L1141" s="391"/>
    </row>
    <row r="1142" spans="1:12" hidden="1" x14ac:dyDescent="0.25">
      <c r="A1142" s="228" t="s">
        <v>35</v>
      </c>
      <c r="B1142" s="234" t="s">
        <v>407</v>
      </c>
      <c r="C1142" s="230" t="s">
        <v>408</v>
      </c>
      <c r="D1142" s="230" t="s">
        <v>409</v>
      </c>
      <c r="E1142" s="229" t="s">
        <v>21</v>
      </c>
      <c r="F1142" s="231">
        <v>515.17999999999995</v>
      </c>
      <c r="G1142" s="229" t="s">
        <v>1</v>
      </c>
      <c r="H1142" s="405">
        <f ca="1">INDEX(PRODUTIVIDADES!$M:$M,MATCH(tbAREAS[[#This Row],[TIPO DE ÁREA]],PRODUTIVIDADES!$B:$B,0)+MATCH(tbAREAS[[#This Row],[LOCALIDADE]],PRODUTIVIDADES!$A:$A,0)-3)*tbAREAS[[#This Row],[ÁREA EM M²]]</f>
        <v>87.580600000000004</v>
      </c>
      <c r="L1142" s="391"/>
    </row>
    <row r="1143" spans="1:12" hidden="1" x14ac:dyDescent="0.25">
      <c r="A1143" s="228" t="s">
        <v>35</v>
      </c>
      <c r="B1143" s="234" t="s">
        <v>407</v>
      </c>
      <c r="C1143" s="230" t="s">
        <v>408</v>
      </c>
      <c r="D1143" s="230" t="s">
        <v>409</v>
      </c>
      <c r="E1143" s="229" t="s">
        <v>22</v>
      </c>
      <c r="F1143" s="231">
        <v>515.17999999999995</v>
      </c>
      <c r="G1143" s="229" t="s">
        <v>1</v>
      </c>
      <c r="H1143" s="405">
        <f ca="1">INDEX(PRODUTIVIDADES!$M:$M,MATCH(tbAREAS[[#This Row],[TIPO DE ÁREA]],PRODUTIVIDADES!$B:$B,0)+MATCH(tbAREAS[[#This Row],[LOCALIDADE]],PRODUTIVIDADES!$A:$A,0)-3)*tbAREAS[[#This Row],[ÁREA EM M²]]</f>
        <v>206.072</v>
      </c>
      <c r="L1143" s="391"/>
    </row>
    <row r="1144" spans="1:12" hidden="1" x14ac:dyDescent="0.25">
      <c r="A1144" s="228" t="s">
        <v>35</v>
      </c>
      <c r="B1144" s="234" t="s">
        <v>407</v>
      </c>
      <c r="C1144" s="230" t="s">
        <v>410</v>
      </c>
      <c r="D1144" s="230" t="s">
        <v>411</v>
      </c>
      <c r="E1144" s="229" t="s">
        <v>9</v>
      </c>
      <c r="F1144" s="231">
        <v>89.8</v>
      </c>
      <c r="G1144" s="229" t="s">
        <v>1</v>
      </c>
      <c r="H1144" s="405">
        <f ca="1">INDEX(PRODUTIVIDADES!$M:$M,MATCH(tbAREAS[[#This Row],[TIPO DE ÁREA]],PRODUTIVIDADES!$B:$B,0)+MATCH(tbAREAS[[#This Row],[LOCALIDADE]],PRODUTIVIDADES!$A:$A,0)-3)*tbAREAS[[#This Row],[ÁREA EM M²]]</f>
        <v>669.90800000000002</v>
      </c>
      <c r="L1144" s="391"/>
    </row>
    <row r="1145" spans="1:12" hidden="1" x14ac:dyDescent="0.25">
      <c r="A1145" s="228" t="s">
        <v>35</v>
      </c>
      <c r="B1145" s="234" t="s">
        <v>407</v>
      </c>
      <c r="C1145" s="230" t="s">
        <v>410</v>
      </c>
      <c r="D1145" s="230" t="s">
        <v>411</v>
      </c>
      <c r="E1145" s="229" t="s">
        <v>10</v>
      </c>
      <c r="F1145" s="231">
        <v>847.55</v>
      </c>
      <c r="G1145" s="229" t="s">
        <v>1</v>
      </c>
      <c r="H1145" s="405">
        <f ca="1">INDEX(PRODUTIVIDADES!$M:$M,MATCH(tbAREAS[[#This Row],[TIPO DE ÁREA]],PRODUTIVIDADES!$B:$B,0)+MATCH(tbAREAS[[#This Row],[LOCALIDADE]],PRODUTIVIDADES!$A:$A,0)-3)*tbAREAS[[#This Row],[ÁREA EM M²]]</f>
        <v>2296.8604999999998</v>
      </c>
      <c r="L1145" s="391"/>
    </row>
    <row r="1146" spans="1:12" hidden="1" x14ac:dyDescent="0.25">
      <c r="A1146" s="228" t="s">
        <v>35</v>
      </c>
      <c r="B1146" s="234" t="s">
        <v>407</v>
      </c>
      <c r="C1146" s="230" t="s">
        <v>410</v>
      </c>
      <c r="D1146" s="230" t="s">
        <v>411</v>
      </c>
      <c r="E1146" s="229" t="s">
        <v>14</v>
      </c>
      <c r="F1146" s="231">
        <v>903.37</v>
      </c>
      <c r="G1146" s="229" t="s">
        <v>1</v>
      </c>
      <c r="H1146" s="405">
        <f ca="1">INDEX(PRODUTIVIDADES!$M:$M,MATCH(tbAREAS[[#This Row],[TIPO DE ÁREA]],PRODUTIVIDADES!$B:$B,0)+MATCH(tbAREAS[[#This Row],[LOCALIDADE]],PRODUTIVIDADES!$A:$A,0)-3)*tbAREAS[[#This Row],[ÁREA EM M²]]</f>
        <v>6675.9043000000001</v>
      </c>
      <c r="L1146" s="391"/>
    </row>
    <row r="1147" spans="1:12" hidden="1" x14ac:dyDescent="0.25">
      <c r="A1147" s="228" t="s">
        <v>35</v>
      </c>
      <c r="B1147" s="234" t="s">
        <v>407</v>
      </c>
      <c r="C1147" s="230" t="s">
        <v>410</v>
      </c>
      <c r="D1147" s="230" t="s">
        <v>411</v>
      </c>
      <c r="E1147" s="229" t="s">
        <v>17</v>
      </c>
      <c r="F1147" s="231">
        <v>532.67999999999995</v>
      </c>
      <c r="G1147" s="229" t="s">
        <v>1</v>
      </c>
      <c r="H1147" s="405">
        <f ca="1">INDEX(PRODUTIVIDADES!$M:$M,MATCH(tbAREAS[[#This Row],[TIPO DE ÁREA]],PRODUTIVIDADES!$B:$B,0)+MATCH(tbAREAS[[#This Row],[LOCALIDADE]],PRODUTIVIDADES!$A:$A,0)-3)*tbAREAS[[#This Row],[ÁREA EM M²]]</f>
        <v>1081.3403999999998</v>
      </c>
      <c r="L1147" s="391"/>
    </row>
    <row r="1148" spans="1:12" hidden="1" x14ac:dyDescent="0.25">
      <c r="A1148" s="228" t="s">
        <v>35</v>
      </c>
      <c r="B1148" s="234" t="s">
        <v>407</v>
      </c>
      <c r="C1148" s="230" t="s">
        <v>410</v>
      </c>
      <c r="D1148" s="230" t="s">
        <v>411</v>
      </c>
      <c r="E1148" s="229" t="s">
        <v>18</v>
      </c>
      <c r="F1148" s="231">
        <v>91.32</v>
      </c>
      <c r="G1148" s="229" t="s">
        <v>1</v>
      </c>
      <c r="H1148" s="405">
        <f ca="1">INDEX(PRODUTIVIDADES!$M:$M,MATCH(tbAREAS[[#This Row],[TIPO DE ÁREA]],PRODUTIVIDADES!$B:$B,0)+MATCH(tbAREAS[[#This Row],[LOCALIDADE]],PRODUTIVIDADES!$A:$A,0)-3)*tbAREAS[[#This Row],[ÁREA EM M²]]</f>
        <v>3615.3588</v>
      </c>
      <c r="L1148" s="391"/>
    </row>
    <row r="1149" spans="1:12" hidden="1" x14ac:dyDescent="0.25">
      <c r="A1149" s="228" t="s">
        <v>35</v>
      </c>
      <c r="B1149" s="234" t="s">
        <v>407</v>
      </c>
      <c r="C1149" s="230" t="s">
        <v>410</v>
      </c>
      <c r="D1149" s="230" t="s">
        <v>411</v>
      </c>
      <c r="E1149" s="229" t="s">
        <v>21</v>
      </c>
      <c r="F1149" s="231">
        <v>606.04</v>
      </c>
      <c r="G1149" s="229" t="s">
        <v>1</v>
      </c>
      <c r="H1149" s="405">
        <f ca="1">INDEX(PRODUTIVIDADES!$M:$M,MATCH(tbAREAS[[#This Row],[TIPO DE ÁREA]],PRODUTIVIDADES!$B:$B,0)+MATCH(tbAREAS[[#This Row],[LOCALIDADE]],PRODUTIVIDADES!$A:$A,0)-3)*tbAREAS[[#This Row],[ÁREA EM M²]]</f>
        <v>103.02679999999999</v>
      </c>
      <c r="L1149" s="391"/>
    </row>
    <row r="1150" spans="1:12" hidden="1" x14ac:dyDescent="0.25">
      <c r="A1150" s="228" t="s">
        <v>35</v>
      </c>
      <c r="B1150" s="234" t="s">
        <v>407</v>
      </c>
      <c r="C1150" s="230" t="s">
        <v>410</v>
      </c>
      <c r="D1150" s="230" t="s">
        <v>411</v>
      </c>
      <c r="E1150" s="229" t="s">
        <v>22</v>
      </c>
      <c r="F1150" s="231">
        <v>606.04</v>
      </c>
      <c r="G1150" s="229" t="s">
        <v>1</v>
      </c>
      <c r="H1150" s="405">
        <f ca="1">INDEX(PRODUTIVIDADES!$M:$M,MATCH(tbAREAS[[#This Row],[TIPO DE ÁREA]],PRODUTIVIDADES!$B:$B,0)+MATCH(tbAREAS[[#This Row],[LOCALIDADE]],PRODUTIVIDADES!$A:$A,0)-3)*tbAREAS[[#This Row],[ÁREA EM M²]]</f>
        <v>242.416</v>
      </c>
      <c r="L1150" s="391"/>
    </row>
    <row r="1151" spans="1:12" hidden="1" x14ac:dyDescent="0.25">
      <c r="A1151" s="228" t="s">
        <v>35</v>
      </c>
      <c r="B1151" s="234" t="s">
        <v>407</v>
      </c>
      <c r="C1151" s="230" t="s">
        <v>412</v>
      </c>
      <c r="D1151" s="230" t="s">
        <v>413</v>
      </c>
      <c r="E1151" s="229" t="s">
        <v>9</v>
      </c>
      <c r="F1151" s="231">
        <v>917.04</v>
      </c>
      <c r="G1151" s="229" t="s">
        <v>1</v>
      </c>
      <c r="H1151" s="405">
        <f ca="1">INDEX(PRODUTIVIDADES!$M:$M,MATCH(tbAREAS[[#This Row],[TIPO DE ÁREA]],PRODUTIVIDADES!$B:$B,0)+MATCH(tbAREAS[[#This Row],[LOCALIDADE]],PRODUTIVIDADES!$A:$A,0)-3)*tbAREAS[[#This Row],[ÁREA EM M²]]</f>
        <v>6841.1183999999994</v>
      </c>
      <c r="L1151" s="391"/>
    </row>
    <row r="1152" spans="1:12" hidden="1" x14ac:dyDescent="0.25">
      <c r="A1152" s="228" t="s">
        <v>35</v>
      </c>
      <c r="B1152" s="234" t="s">
        <v>407</v>
      </c>
      <c r="C1152" s="230" t="s">
        <v>412</v>
      </c>
      <c r="D1152" s="230" t="s">
        <v>413</v>
      </c>
      <c r="E1152" s="229" t="s">
        <v>10</v>
      </c>
      <c r="F1152" s="231">
        <v>45.38</v>
      </c>
      <c r="G1152" s="229" t="s">
        <v>1</v>
      </c>
      <c r="H1152" s="405">
        <f ca="1">INDEX(PRODUTIVIDADES!$M:$M,MATCH(tbAREAS[[#This Row],[TIPO DE ÁREA]],PRODUTIVIDADES!$B:$B,0)+MATCH(tbAREAS[[#This Row],[LOCALIDADE]],PRODUTIVIDADES!$A:$A,0)-3)*tbAREAS[[#This Row],[ÁREA EM M²]]</f>
        <v>122.97980000000001</v>
      </c>
      <c r="L1152" s="391"/>
    </row>
    <row r="1153" spans="1:12" hidden="1" x14ac:dyDescent="0.25">
      <c r="A1153" s="228" t="s">
        <v>35</v>
      </c>
      <c r="B1153" s="234" t="s">
        <v>407</v>
      </c>
      <c r="C1153" s="230" t="s">
        <v>412</v>
      </c>
      <c r="D1153" s="230" t="s">
        <v>413</v>
      </c>
      <c r="E1153" s="229" t="s">
        <v>14</v>
      </c>
      <c r="F1153" s="231">
        <v>685.45</v>
      </c>
      <c r="G1153" s="229" t="s">
        <v>1</v>
      </c>
      <c r="H1153" s="405">
        <f ca="1">INDEX(PRODUTIVIDADES!$M:$M,MATCH(tbAREAS[[#This Row],[TIPO DE ÁREA]],PRODUTIVIDADES!$B:$B,0)+MATCH(tbAREAS[[#This Row],[LOCALIDADE]],PRODUTIVIDADES!$A:$A,0)-3)*tbAREAS[[#This Row],[ÁREA EM M²]]</f>
        <v>5065.4755000000005</v>
      </c>
      <c r="L1153" s="391"/>
    </row>
    <row r="1154" spans="1:12" hidden="1" x14ac:dyDescent="0.25">
      <c r="A1154" s="228" t="s">
        <v>35</v>
      </c>
      <c r="B1154" s="234" t="s">
        <v>407</v>
      </c>
      <c r="C1154" s="230" t="s">
        <v>412</v>
      </c>
      <c r="D1154" s="230" t="s">
        <v>413</v>
      </c>
      <c r="E1154" s="229" t="s">
        <v>17</v>
      </c>
      <c r="F1154" s="231">
        <v>682.34</v>
      </c>
      <c r="G1154" s="229" t="s">
        <v>1</v>
      </c>
      <c r="H1154" s="405">
        <f ca="1">INDEX(PRODUTIVIDADES!$M:$M,MATCH(tbAREAS[[#This Row],[TIPO DE ÁREA]],PRODUTIVIDADES!$B:$B,0)+MATCH(tbAREAS[[#This Row],[LOCALIDADE]],PRODUTIVIDADES!$A:$A,0)-3)*tbAREAS[[#This Row],[ÁREA EM M²]]</f>
        <v>1385.1502</v>
      </c>
      <c r="L1154" s="391"/>
    </row>
    <row r="1155" spans="1:12" hidden="1" x14ac:dyDescent="0.25">
      <c r="A1155" s="228" t="s">
        <v>35</v>
      </c>
      <c r="B1155" s="234" t="s">
        <v>407</v>
      </c>
      <c r="C1155" s="230" t="s">
        <v>412</v>
      </c>
      <c r="D1155" s="230" t="s">
        <v>413</v>
      </c>
      <c r="E1155" s="229" t="s">
        <v>18</v>
      </c>
      <c r="F1155" s="231">
        <v>110.7</v>
      </c>
      <c r="G1155" s="229" t="s">
        <v>1</v>
      </c>
      <c r="H1155" s="405">
        <f ca="1">INDEX(PRODUTIVIDADES!$M:$M,MATCH(tbAREAS[[#This Row],[TIPO DE ÁREA]],PRODUTIVIDADES!$B:$B,0)+MATCH(tbAREAS[[#This Row],[LOCALIDADE]],PRODUTIVIDADES!$A:$A,0)-3)*tbAREAS[[#This Row],[ÁREA EM M²]]</f>
        <v>4382.6130000000003</v>
      </c>
      <c r="L1155" s="391"/>
    </row>
    <row r="1156" spans="1:12" hidden="1" x14ac:dyDescent="0.25">
      <c r="A1156" s="228" t="s">
        <v>35</v>
      </c>
      <c r="B1156" s="234" t="s">
        <v>407</v>
      </c>
      <c r="C1156" s="230" t="s">
        <v>412</v>
      </c>
      <c r="D1156" s="230" t="s">
        <v>413</v>
      </c>
      <c r="E1156" s="229" t="s">
        <v>21</v>
      </c>
      <c r="F1156" s="231">
        <v>453.11</v>
      </c>
      <c r="G1156" s="229" t="s">
        <v>1</v>
      </c>
      <c r="H1156" s="405">
        <f ca="1">INDEX(PRODUTIVIDADES!$M:$M,MATCH(tbAREAS[[#This Row],[TIPO DE ÁREA]],PRODUTIVIDADES!$B:$B,0)+MATCH(tbAREAS[[#This Row],[LOCALIDADE]],PRODUTIVIDADES!$A:$A,0)-3)*tbAREAS[[#This Row],[ÁREA EM M²]]</f>
        <v>77.028700000000015</v>
      </c>
      <c r="L1156" s="391"/>
    </row>
    <row r="1157" spans="1:12" hidden="1" x14ac:dyDescent="0.25">
      <c r="A1157" s="228" t="s">
        <v>35</v>
      </c>
      <c r="B1157" s="234" t="s">
        <v>407</v>
      </c>
      <c r="C1157" s="230" t="s">
        <v>412</v>
      </c>
      <c r="D1157" s="230" t="s">
        <v>413</v>
      </c>
      <c r="E1157" s="229" t="s">
        <v>22</v>
      </c>
      <c r="F1157" s="231">
        <v>453.11</v>
      </c>
      <c r="G1157" s="229" t="s">
        <v>1</v>
      </c>
      <c r="H1157" s="405">
        <f ca="1">INDEX(PRODUTIVIDADES!$M:$M,MATCH(tbAREAS[[#This Row],[TIPO DE ÁREA]],PRODUTIVIDADES!$B:$B,0)+MATCH(tbAREAS[[#This Row],[LOCALIDADE]],PRODUTIVIDADES!$A:$A,0)-3)*tbAREAS[[#This Row],[ÁREA EM M²]]</f>
        <v>181.24400000000003</v>
      </c>
      <c r="L1157" s="391"/>
    </row>
    <row r="1158" spans="1:12" hidden="1" x14ac:dyDescent="0.25">
      <c r="A1158" s="228" t="s">
        <v>35</v>
      </c>
      <c r="B1158" s="234" t="s">
        <v>407</v>
      </c>
      <c r="C1158" s="230" t="s">
        <v>414</v>
      </c>
      <c r="D1158" s="230" t="s">
        <v>415</v>
      </c>
      <c r="E1158" s="229" t="s">
        <v>9</v>
      </c>
      <c r="F1158" s="231">
        <v>94.53</v>
      </c>
      <c r="G1158" s="229" t="s">
        <v>1</v>
      </c>
      <c r="H1158" s="405">
        <f ca="1">INDEX(PRODUTIVIDADES!$M:$M,MATCH(tbAREAS[[#This Row],[TIPO DE ÁREA]],PRODUTIVIDADES!$B:$B,0)+MATCH(tbAREAS[[#This Row],[LOCALIDADE]],PRODUTIVIDADES!$A:$A,0)-3)*tbAREAS[[#This Row],[ÁREA EM M²]]</f>
        <v>705.19380000000001</v>
      </c>
      <c r="L1158" s="391"/>
    </row>
    <row r="1159" spans="1:12" hidden="1" x14ac:dyDescent="0.25">
      <c r="A1159" s="228" t="s">
        <v>35</v>
      </c>
      <c r="B1159" s="234" t="s">
        <v>407</v>
      </c>
      <c r="C1159" s="230" t="s">
        <v>414</v>
      </c>
      <c r="D1159" s="230" t="s">
        <v>415</v>
      </c>
      <c r="E1159" s="229" t="s">
        <v>10</v>
      </c>
      <c r="F1159" s="231">
        <v>176.32</v>
      </c>
      <c r="G1159" s="229" t="s">
        <v>1</v>
      </c>
      <c r="H1159" s="405">
        <f ca="1">INDEX(PRODUTIVIDADES!$M:$M,MATCH(tbAREAS[[#This Row],[TIPO DE ÁREA]],PRODUTIVIDADES!$B:$B,0)+MATCH(tbAREAS[[#This Row],[LOCALIDADE]],PRODUTIVIDADES!$A:$A,0)-3)*tbAREAS[[#This Row],[ÁREA EM M²]]</f>
        <v>477.82719999999995</v>
      </c>
      <c r="L1159" s="391"/>
    </row>
    <row r="1160" spans="1:12" hidden="1" x14ac:dyDescent="0.25">
      <c r="A1160" s="228" t="s">
        <v>35</v>
      </c>
      <c r="B1160" s="234" t="s">
        <v>407</v>
      </c>
      <c r="C1160" s="230" t="s">
        <v>414</v>
      </c>
      <c r="D1160" s="230" t="s">
        <v>415</v>
      </c>
      <c r="E1160" s="229" t="s">
        <v>14</v>
      </c>
      <c r="F1160" s="231">
        <v>114.69</v>
      </c>
      <c r="G1160" s="229" t="s">
        <v>1</v>
      </c>
      <c r="H1160" s="405">
        <f ca="1">INDEX(PRODUTIVIDADES!$M:$M,MATCH(tbAREAS[[#This Row],[TIPO DE ÁREA]],PRODUTIVIDADES!$B:$B,0)+MATCH(tbAREAS[[#This Row],[LOCALIDADE]],PRODUTIVIDADES!$A:$A,0)-3)*tbAREAS[[#This Row],[ÁREA EM M²]]</f>
        <v>847.55909999999994</v>
      </c>
      <c r="L1160" s="391"/>
    </row>
    <row r="1161" spans="1:12" hidden="1" x14ac:dyDescent="0.25">
      <c r="A1161" s="228" t="s">
        <v>35</v>
      </c>
      <c r="B1161" s="234" t="s">
        <v>407</v>
      </c>
      <c r="C1161" s="230" t="s">
        <v>414</v>
      </c>
      <c r="D1161" s="230" t="s">
        <v>415</v>
      </c>
      <c r="E1161" s="229" t="s">
        <v>17</v>
      </c>
      <c r="F1161" s="231">
        <v>100.36</v>
      </c>
      <c r="G1161" s="229" t="s">
        <v>1</v>
      </c>
      <c r="H1161" s="405">
        <f ca="1">INDEX(PRODUTIVIDADES!$M:$M,MATCH(tbAREAS[[#This Row],[TIPO DE ÁREA]],PRODUTIVIDADES!$B:$B,0)+MATCH(tbAREAS[[#This Row],[LOCALIDADE]],PRODUTIVIDADES!$A:$A,0)-3)*tbAREAS[[#This Row],[ÁREA EM M²]]</f>
        <v>203.73079999999999</v>
      </c>
      <c r="L1161" s="391"/>
    </row>
    <row r="1162" spans="1:12" hidden="1" x14ac:dyDescent="0.25">
      <c r="A1162" s="228" t="s">
        <v>35</v>
      </c>
      <c r="B1162" s="234" t="s">
        <v>407</v>
      </c>
      <c r="C1162" s="230" t="s">
        <v>414</v>
      </c>
      <c r="D1162" s="230" t="s">
        <v>415</v>
      </c>
      <c r="E1162" s="229" t="s">
        <v>18</v>
      </c>
      <c r="F1162" s="231">
        <v>22.35</v>
      </c>
      <c r="G1162" s="229" t="s">
        <v>1</v>
      </c>
      <c r="H1162" s="405">
        <f ca="1">INDEX(PRODUTIVIDADES!$M:$M,MATCH(tbAREAS[[#This Row],[TIPO DE ÁREA]],PRODUTIVIDADES!$B:$B,0)+MATCH(tbAREAS[[#This Row],[LOCALIDADE]],PRODUTIVIDADES!$A:$A,0)-3)*tbAREAS[[#This Row],[ÁREA EM M²]]</f>
        <v>884.83650000000011</v>
      </c>
      <c r="L1162" s="391"/>
    </row>
    <row r="1163" spans="1:12" hidden="1" x14ac:dyDescent="0.25">
      <c r="A1163" s="228" t="s">
        <v>35</v>
      </c>
      <c r="B1163" s="234" t="s">
        <v>407</v>
      </c>
      <c r="C1163" s="230" t="s">
        <v>414</v>
      </c>
      <c r="D1163" s="230" t="s">
        <v>415</v>
      </c>
      <c r="E1163" s="229" t="s">
        <v>21</v>
      </c>
      <c r="F1163" s="231">
        <v>100.68</v>
      </c>
      <c r="G1163" s="229" t="s">
        <v>1</v>
      </c>
      <c r="H1163" s="405">
        <f ca="1">INDEX(PRODUTIVIDADES!$M:$M,MATCH(tbAREAS[[#This Row],[TIPO DE ÁREA]],PRODUTIVIDADES!$B:$B,0)+MATCH(tbAREAS[[#This Row],[LOCALIDADE]],PRODUTIVIDADES!$A:$A,0)-3)*tbAREAS[[#This Row],[ÁREA EM M²]]</f>
        <v>17.115600000000004</v>
      </c>
      <c r="L1163" s="391"/>
    </row>
    <row r="1164" spans="1:12" hidden="1" x14ac:dyDescent="0.25">
      <c r="A1164" s="228" t="s">
        <v>35</v>
      </c>
      <c r="B1164" s="234" t="s">
        <v>407</v>
      </c>
      <c r="C1164" s="230" t="s">
        <v>414</v>
      </c>
      <c r="D1164" s="230" t="s">
        <v>415</v>
      </c>
      <c r="E1164" s="229" t="s">
        <v>22</v>
      </c>
      <c r="F1164" s="231">
        <v>100.68</v>
      </c>
      <c r="G1164" s="229" t="s">
        <v>1</v>
      </c>
      <c r="H1164" s="405">
        <f ca="1">INDEX(PRODUTIVIDADES!$M:$M,MATCH(tbAREAS[[#This Row],[TIPO DE ÁREA]],PRODUTIVIDADES!$B:$B,0)+MATCH(tbAREAS[[#This Row],[LOCALIDADE]],PRODUTIVIDADES!$A:$A,0)-3)*tbAREAS[[#This Row],[ÁREA EM M²]]</f>
        <v>40.272000000000006</v>
      </c>
      <c r="L1164" s="391"/>
    </row>
    <row r="1165" spans="1:12" hidden="1" x14ac:dyDescent="0.25">
      <c r="A1165" s="228" t="s">
        <v>35</v>
      </c>
      <c r="B1165" s="234" t="s">
        <v>407</v>
      </c>
      <c r="C1165" s="230" t="s">
        <v>416</v>
      </c>
      <c r="D1165" s="230" t="s">
        <v>417</v>
      </c>
      <c r="E1165" s="229" t="s">
        <v>10</v>
      </c>
      <c r="F1165" s="231">
        <v>191.29000000000002</v>
      </c>
      <c r="G1165" s="229" t="s">
        <v>1</v>
      </c>
      <c r="H1165" s="405">
        <f ca="1">INDEX(PRODUTIVIDADES!$M:$M,MATCH(tbAREAS[[#This Row],[TIPO DE ÁREA]],PRODUTIVIDADES!$B:$B,0)+MATCH(tbAREAS[[#This Row],[LOCALIDADE]],PRODUTIVIDADES!$A:$A,0)-3)*tbAREAS[[#This Row],[ÁREA EM M²]]</f>
        <v>518.3959000000001</v>
      </c>
      <c r="L1165" s="391"/>
    </row>
    <row r="1166" spans="1:12" hidden="1" x14ac:dyDescent="0.25">
      <c r="A1166" s="228" t="s">
        <v>35</v>
      </c>
      <c r="B1166" s="234" t="s">
        <v>407</v>
      </c>
      <c r="C1166" s="230" t="s">
        <v>416</v>
      </c>
      <c r="D1166" s="230" t="s">
        <v>417</v>
      </c>
      <c r="E1166" s="229" t="s">
        <v>14</v>
      </c>
      <c r="F1166" s="231">
        <v>204.05</v>
      </c>
      <c r="G1166" s="229" t="s">
        <v>1</v>
      </c>
      <c r="H1166" s="405">
        <f ca="1">INDEX(PRODUTIVIDADES!$M:$M,MATCH(tbAREAS[[#This Row],[TIPO DE ÁREA]],PRODUTIVIDADES!$B:$B,0)+MATCH(tbAREAS[[#This Row],[LOCALIDADE]],PRODUTIVIDADES!$A:$A,0)-3)*tbAREAS[[#This Row],[ÁREA EM M²]]</f>
        <v>1507.9295</v>
      </c>
      <c r="L1166" s="391"/>
    </row>
    <row r="1167" spans="1:12" hidden="1" x14ac:dyDescent="0.25">
      <c r="A1167" s="228" t="s">
        <v>35</v>
      </c>
      <c r="B1167" s="234" t="s">
        <v>407</v>
      </c>
      <c r="C1167" s="230" t="s">
        <v>416</v>
      </c>
      <c r="D1167" s="230" t="s">
        <v>417</v>
      </c>
      <c r="E1167" s="229" t="s">
        <v>17</v>
      </c>
      <c r="F1167" s="231">
        <v>100.29</v>
      </c>
      <c r="G1167" s="229" t="s">
        <v>1</v>
      </c>
      <c r="H1167" s="405">
        <f ca="1">INDEX(PRODUTIVIDADES!$M:$M,MATCH(tbAREAS[[#This Row],[TIPO DE ÁREA]],PRODUTIVIDADES!$B:$B,0)+MATCH(tbAREAS[[#This Row],[LOCALIDADE]],PRODUTIVIDADES!$A:$A,0)-3)*tbAREAS[[#This Row],[ÁREA EM M²]]</f>
        <v>203.58869999999999</v>
      </c>
      <c r="L1167" s="391"/>
    </row>
    <row r="1168" spans="1:12" hidden="1" x14ac:dyDescent="0.25">
      <c r="A1168" s="228" t="s">
        <v>35</v>
      </c>
      <c r="B1168" s="234" t="s">
        <v>407</v>
      </c>
      <c r="C1168" s="230" t="s">
        <v>416</v>
      </c>
      <c r="D1168" s="230" t="s">
        <v>417</v>
      </c>
      <c r="E1168" s="229" t="s">
        <v>18</v>
      </c>
      <c r="F1168" s="231">
        <v>7.1</v>
      </c>
      <c r="G1168" s="229" t="s">
        <v>1</v>
      </c>
      <c r="H1168" s="405">
        <f ca="1">INDEX(PRODUTIVIDADES!$M:$M,MATCH(tbAREAS[[#This Row],[TIPO DE ÁREA]],PRODUTIVIDADES!$B:$B,0)+MATCH(tbAREAS[[#This Row],[LOCALIDADE]],PRODUTIVIDADES!$A:$A,0)-3)*tbAREAS[[#This Row],[ÁREA EM M²]]</f>
        <v>281.089</v>
      </c>
      <c r="L1168" s="391"/>
    </row>
    <row r="1169" spans="1:12" hidden="1" x14ac:dyDescent="0.25">
      <c r="A1169" s="228" t="s">
        <v>35</v>
      </c>
      <c r="B1169" s="234" t="s">
        <v>407</v>
      </c>
      <c r="C1169" s="230" t="s">
        <v>416</v>
      </c>
      <c r="D1169" s="230" t="s">
        <v>417</v>
      </c>
      <c r="E1169" s="229" t="s">
        <v>21</v>
      </c>
      <c r="F1169" s="231">
        <v>100.68</v>
      </c>
      <c r="G1169" s="229" t="s">
        <v>1</v>
      </c>
      <c r="H1169" s="405">
        <f ca="1">INDEX(PRODUTIVIDADES!$M:$M,MATCH(tbAREAS[[#This Row],[TIPO DE ÁREA]],PRODUTIVIDADES!$B:$B,0)+MATCH(tbAREAS[[#This Row],[LOCALIDADE]],PRODUTIVIDADES!$A:$A,0)-3)*tbAREAS[[#This Row],[ÁREA EM M²]]</f>
        <v>17.115600000000004</v>
      </c>
      <c r="L1169" s="391"/>
    </row>
    <row r="1170" spans="1:12" hidden="1" x14ac:dyDescent="0.25">
      <c r="A1170" s="228" t="s">
        <v>35</v>
      </c>
      <c r="B1170" s="234" t="s">
        <v>407</v>
      </c>
      <c r="C1170" s="230" t="s">
        <v>416</v>
      </c>
      <c r="D1170" s="230" t="s">
        <v>417</v>
      </c>
      <c r="E1170" s="229" t="s">
        <v>22</v>
      </c>
      <c r="F1170" s="231">
        <v>100.68</v>
      </c>
      <c r="G1170" s="229" t="s">
        <v>1</v>
      </c>
      <c r="H1170" s="405">
        <f ca="1">INDEX(PRODUTIVIDADES!$M:$M,MATCH(tbAREAS[[#This Row],[TIPO DE ÁREA]],PRODUTIVIDADES!$B:$B,0)+MATCH(tbAREAS[[#This Row],[LOCALIDADE]],PRODUTIVIDADES!$A:$A,0)-3)*tbAREAS[[#This Row],[ÁREA EM M²]]</f>
        <v>40.272000000000006</v>
      </c>
      <c r="L1170" s="391"/>
    </row>
    <row r="1171" spans="1:12" hidden="1" x14ac:dyDescent="0.25">
      <c r="A1171" s="228" t="s">
        <v>35</v>
      </c>
      <c r="B1171" s="234" t="s">
        <v>407</v>
      </c>
      <c r="C1171" s="230" t="s">
        <v>418</v>
      </c>
      <c r="D1171" s="230" t="s">
        <v>419</v>
      </c>
      <c r="E1171" s="229" t="s">
        <v>9</v>
      </c>
      <c r="F1171" s="231">
        <v>161</v>
      </c>
      <c r="G1171" s="229" t="s">
        <v>1</v>
      </c>
      <c r="H1171" s="405">
        <f ca="1">INDEX(PRODUTIVIDADES!$M:$M,MATCH(tbAREAS[[#This Row],[TIPO DE ÁREA]],PRODUTIVIDADES!$B:$B,0)+MATCH(tbAREAS[[#This Row],[LOCALIDADE]],PRODUTIVIDADES!$A:$A,0)-3)*tbAREAS[[#This Row],[ÁREA EM M²]]</f>
        <v>1201.06</v>
      </c>
      <c r="L1171" s="391"/>
    </row>
    <row r="1172" spans="1:12" hidden="1" x14ac:dyDescent="0.25">
      <c r="A1172" s="228" t="s">
        <v>35</v>
      </c>
      <c r="B1172" s="234" t="s">
        <v>407</v>
      </c>
      <c r="C1172" s="230" t="s">
        <v>418</v>
      </c>
      <c r="D1172" s="230" t="s">
        <v>419</v>
      </c>
      <c r="E1172" s="229" t="s">
        <v>10</v>
      </c>
      <c r="F1172" s="231">
        <v>239.66</v>
      </c>
      <c r="G1172" s="229" t="s">
        <v>1</v>
      </c>
      <c r="H1172" s="405">
        <f ca="1">INDEX(PRODUTIVIDADES!$M:$M,MATCH(tbAREAS[[#This Row],[TIPO DE ÁREA]],PRODUTIVIDADES!$B:$B,0)+MATCH(tbAREAS[[#This Row],[LOCALIDADE]],PRODUTIVIDADES!$A:$A,0)-3)*tbAREAS[[#This Row],[ÁREA EM M²]]</f>
        <v>649.47860000000003</v>
      </c>
      <c r="L1172" s="391"/>
    </row>
    <row r="1173" spans="1:12" hidden="1" x14ac:dyDescent="0.25">
      <c r="A1173" s="228" t="s">
        <v>35</v>
      </c>
      <c r="B1173" s="234" t="s">
        <v>407</v>
      </c>
      <c r="C1173" s="230" t="s">
        <v>418</v>
      </c>
      <c r="D1173" s="230" t="s">
        <v>419</v>
      </c>
      <c r="E1173" s="229" t="s">
        <v>14</v>
      </c>
      <c r="F1173" s="231">
        <v>32.799999999999997</v>
      </c>
      <c r="G1173" s="229" t="s">
        <v>1</v>
      </c>
      <c r="H1173" s="405">
        <f ca="1">INDEX(PRODUTIVIDADES!$M:$M,MATCH(tbAREAS[[#This Row],[TIPO DE ÁREA]],PRODUTIVIDADES!$B:$B,0)+MATCH(tbAREAS[[#This Row],[LOCALIDADE]],PRODUTIVIDADES!$A:$A,0)-3)*tbAREAS[[#This Row],[ÁREA EM M²]]</f>
        <v>242.39199999999997</v>
      </c>
      <c r="L1173" s="391"/>
    </row>
    <row r="1174" spans="1:12" hidden="1" x14ac:dyDescent="0.25">
      <c r="A1174" s="228" t="s">
        <v>35</v>
      </c>
      <c r="B1174" s="234" t="s">
        <v>407</v>
      </c>
      <c r="C1174" s="230" t="s">
        <v>418</v>
      </c>
      <c r="D1174" s="230" t="s">
        <v>419</v>
      </c>
      <c r="E1174" s="229" t="s">
        <v>17</v>
      </c>
      <c r="F1174" s="231">
        <v>100.32</v>
      </c>
      <c r="G1174" s="229" t="s">
        <v>1</v>
      </c>
      <c r="H1174" s="405">
        <f ca="1">INDEX(PRODUTIVIDADES!$M:$M,MATCH(tbAREAS[[#This Row],[TIPO DE ÁREA]],PRODUTIVIDADES!$B:$B,0)+MATCH(tbAREAS[[#This Row],[LOCALIDADE]],PRODUTIVIDADES!$A:$A,0)-3)*tbAREAS[[#This Row],[ÁREA EM M²]]</f>
        <v>203.64959999999996</v>
      </c>
      <c r="L1174" s="391"/>
    </row>
    <row r="1175" spans="1:12" hidden="1" x14ac:dyDescent="0.25">
      <c r="A1175" s="228" t="s">
        <v>35</v>
      </c>
      <c r="B1175" s="234" t="s">
        <v>407</v>
      </c>
      <c r="C1175" s="230" t="s">
        <v>418</v>
      </c>
      <c r="D1175" s="230" t="s">
        <v>419</v>
      </c>
      <c r="E1175" s="229" t="s">
        <v>18</v>
      </c>
      <c r="F1175" s="231">
        <v>14.2</v>
      </c>
      <c r="G1175" s="229" t="s">
        <v>1</v>
      </c>
      <c r="H1175" s="405">
        <f ca="1">INDEX(PRODUTIVIDADES!$M:$M,MATCH(tbAREAS[[#This Row],[TIPO DE ÁREA]],PRODUTIVIDADES!$B:$B,0)+MATCH(tbAREAS[[#This Row],[LOCALIDADE]],PRODUTIVIDADES!$A:$A,0)-3)*tbAREAS[[#This Row],[ÁREA EM M²]]</f>
        <v>562.178</v>
      </c>
      <c r="L1175" s="391"/>
    </row>
    <row r="1176" spans="1:12" hidden="1" x14ac:dyDescent="0.25">
      <c r="A1176" s="228" t="s">
        <v>35</v>
      </c>
      <c r="B1176" s="234" t="s">
        <v>407</v>
      </c>
      <c r="C1176" s="230" t="s">
        <v>418</v>
      </c>
      <c r="D1176" s="230" t="s">
        <v>419</v>
      </c>
      <c r="E1176" s="229" t="s">
        <v>21</v>
      </c>
      <c r="F1176" s="231">
        <v>100.68</v>
      </c>
      <c r="G1176" s="229" t="s">
        <v>1</v>
      </c>
      <c r="H1176" s="405">
        <f ca="1">INDEX(PRODUTIVIDADES!$M:$M,MATCH(tbAREAS[[#This Row],[TIPO DE ÁREA]],PRODUTIVIDADES!$B:$B,0)+MATCH(tbAREAS[[#This Row],[LOCALIDADE]],PRODUTIVIDADES!$A:$A,0)-3)*tbAREAS[[#This Row],[ÁREA EM M²]]</f>
        <v>17.115600000000004</v>
      </c>
      <c r="L1176" s="391"/>
    </row>
    <row r="1177" spans="1:12" hidden="1" x14ac:dyDescent="0.25">
      <c r="A1177" s="228" t="s">
        <v>35</v>
      </c>
      <c r="B1177" s="234" t="s">
        <v>407</v>
      </c>
      <c r="C1177" s="230" t="s">
        <v>418</v>
      </c>
      <c r="D1177" s="230" t="s">
        <v>419</v>
      </c>
      <c r="E1177" s="229" t="s">
        <v>22</v>
      </c>
      <c r="F1177" s="231">
        <v>100.68</v>
      </c>
      <c r="G1177" s="229" t="s">
        <v>1</v>
      </c>
      <c r="H1177" s="405">
        <f ca="1">INDEX(PRODUTIVIDADES!$M:$M,MATCH(tbAREAS[[#This Row],[TIPO DE ÁREA]],PRODUTIVIDADES!$B:$B,0)+MATCH(tbAREAS[[#This Row],[LOCALIDADE]],PRODUTIVIDADES!$A:$A,0)-3)*tbAREAS[[#This Row],[ÁREA EM M²]]</f>
        <v>40.272000000000006</v>
      </c>
      <c r="L1177" s="391"/>
    </row>
    <row r="1178" spans="1:12" hidden="1" x14ac:dyDescent="0.25">
      <c r="A1178" s="228" t="s">
        <v>35</v>
      </c>
      <c r="B1178" s="234" t="s">
        <v>407</v>
      </c>
      <c r="C1178" s="230" t="s">
        <v>420</v>
      </c>
      <c r="D1178" s="230" t="s">
        <v>421</v>
      </c>
      <c r="E1178" s="229" t="s">
        <v>10</v>
      </c>
      <c r="F1178" s="231">
        <v>32.79</v>
      </c>
      <c r="G1178" s="229" t="s">
        <v>1</v>
      </c>
      <c r="H1178" s="405">
        <f ca="1">INDEX(PRODUTIVIDADES!$M:$M,MATCH(tbAREAS[[#This Row],[TIPO DE ÁREA]],PRODUTIVIDADES!$B:$B,0)+MATCH(tbAREAS[[#This Row],[LOCALIDADE]],PRODUTIVIDADES!$A:$A,0)-3)*tbAREAS[[#This Row],[ÁREA EM M²]]</f>
        <v>88.860900000000001</v>
      </c>
      <c r="L1178" s="391"/>
    </row>
    <row r="1179" spans="1:12" hidden="1" x14ac:dyDescent="0.25">
      <c r="A1179" s="228" t="s">
        <v>35</v>
      </c>
      <c r="B1179" s="234" t="s">
        <v>407</v>
      </c>
      <c r="C1179" s="230" t="s">
        <v>420</v>
      </c>
      <c r="D1179" s="230" t="s">
        <v>421</v>
      </c>
      <c r="E1179" s="229" t="s">
        <v>14</v>
      </c>
      <c r="F1179" s="231">
        <v>98.15</v>
      </c>
      <c r="G1179" s="229" t="s">
        <v>1</v>
      </c>
      <c r="H1179" s="405">
        <f ca="1">INDEX(PRODUTIVIDADES!$M:$M,MATCH(tbAREAS[[#This Row],[TIPO DE ÁREA]],PRODUTIVIDADES!$B:$B,0)+MATCH(tbAREAS[[#This Row],[LOCALIDADE]],PRODUTIVIDADES!$A:$A,0)-3)*tbAREAS[[#This Row],[ÁREA EM M²]]</f>
        <v>725.32849999999996</v>
      </c>
      <c r="L1179" s="391"/>
    </row>
    <row r="1180" spans="1:12" hidden="1" x14ac:dyDescent="0.25">
      <c r="A1180" s="228" t="s">
        <v>35</v>
      </c>
      <c r="B1180" s="234" t="s">
        <v>407</v>
      </c>
      <c r="C1180" s="230" t="s">
        <v>420</v>
      </c>
      <c r="D1180" s="230" t="s">
        <v>421</v>
      </c>
      <c r="E1180" s="229" t="s">
        <v>17</v>
      </c>
      <c r="F1180" s="231">
        <v>35.770000000000003</v>
      </c>
      <c r="G1180" s="229" t="s">
        <v>1</v>
      </c>
      <c r="H1180" s="405">
        <f ca="1">INDEX(PRODUTIVIDADES!$M:$M,MATCH(tbAREAS[[#This Row],[TIPO DE ÁREA]],PRODUTIVIDADES!$B:$B,0)+MATCH(tbAREAS[[#This Row],[LOCALIDADE]],PRODUTIVIDADES!$A:$A,0)-3)*tbAREAS[[#This Row],[ÁREA EM M²]]</f>
        <v>72.613100000000003</v>
      </c>
      <c r="L1180" s="391"/>
    </row>
    <row r="1181" spans="1:12" hidden="1" x14ac:dyDescent="0.25">
      <c r="A1181" s="228" t="s">
        <v>35</v>
      </c>
      <c r="B1181" s="234" t="s">
        <v>407</v>
      </c>
      <c r="C1181" s="230" t="s">
        <v>420</v>
      </c>
      <c r="D1181" s="230" t="s">
        <v>421</v>
      </c>
      <c r="E1181" s="229" t="s">
        <v>18</v>
      </c>
      <c r="F1181" s="231">
        <v>8.86</v>
      </c>
      <c r="G1181" s="229" t="s">
        <v>1</v>
      </c>
      <c r="H1181" s="405">
        <f ca="1">INDEX(PRODUTIVIDADES!$M:$M,MATCH(tbAREAS[[#This Row],[TIPO DE ÁREA]],PRODUTIVIDADES!$B:$B,0)+MATCH(tbAREAS[[#This Row],[LOCALIDADE]],PRODUTIVIDADES!$A:$A,0)-3)*tbAREAS[[#This Row],[ÁREA EM M²]]</f>
        <v>350.76740000000001</v>
      </c>
      <c r="L1181" s="391"/>
    </row>
    <row r="1182" spans="1:12" hidden="1" x14ac:dyDescent="0.25">
      <c r="A1182" s="228" t="s">
        <v>35</v>
      </c>
      <c r="B1182" s="234" t="s">
        <v>407</v>
      </c>
      <c r="C1182" s="230" t="s">
        <v>420</v>
      </c>
      <c r="D1182" s="230" t="s">
        <v>421</v>
      </c>
      <c r="E1182" s="229" t="s">
        <v>21</v>
      </c>
      <c r="F1182" s="231">
        <v>42</v>
      </c>
      <c r="G1182" s="229" t="s">
        <v>1</v>
      </c>
      <c r="H1182" s="405">
        <f ca="1">INDEX(PRODUTIVIDADES!$M:$M,MATCH(tbAREAS[[#This Row],[TIPO DE ÁREA]],PRODUTIVIDADES!$B:$B,0)+MATCH(tbAREAS[[#This Row],[LOCALIDADE]],PRODUTIVIDADES!$A:$A,0)-3)*tbAREAS[[#This Row],[ÁREA EM M²]]</f>
        <v>7.1400000000000006</v>
      </c>
      <c r="L1182" s="391"/>
    </row>
    <row r="1183" spans="1:12" hidden="1" x14ac:dyDescent="0.25">
      <c r="A1183" s="228" t="s">
        <v>35</v>
      </c>
      <c r="B1183" s="234" t="s">
        <v>407</v>
      </c>
      <c r="C1183" s="230" t="s">
        <v>420</v>
      </c>
      <c r="D1183" s="230" t="s">
        <v>421</v>
      </c>
      <c r="E1183" s="229" t="s">
        <v>22</v>
      </c>
      <c r="F1183" s="231">
        <v>42</v>
      </c>
      <c r="G1183" s="229" t="s">
        <v>1</v>
      </c>
      <c r="H1183" s="405">
        <f ca="1">INDEX(PRODUTIVIDADES!$M:$M,MATCH(tbAREAS[[#This Row],[TIPO DE ÁREA]],PRODUTIVIDADES!$B:$B,0)+MATCH(tbAREAS[[#This Row],[LOCALIDADE]],PRODUTIVIDADES!$A:$A,0)-3)*tbAREAS[[#This Row],[ÁREA EM M²]]</f>
        <v>16.8</v>
      </c>
      <c r="L1183" s="391"/>
    </row>
    <row r="1184" spans="1:12" hidden="1" x14ac:dyDescent="0.25">
      <c r="A1184" s="228" t="s">
        <v>35</v>
      </c>
      <c r="B1184" s="234" t="s">
        <v>407</v>
      </c>
      <c r="C1184" s="230" t="s">
        <v>422</v>
      </c>
      <c r="D1184" s="230" t="s">
        <v>423</v>
      </c>
      <c r="E1184" s="229" t="s">
        <v>9</v>
      </c>
      <c r="F1184" s="231">
        <v>62.7</v>
      </c>
      <c r="G1184" s="229" t="s">
        <v>1</v>
      </c>
      <c r="H1184" s="405">
        <f ca="1">INDEX(PRODUTIVIDADES!$M:$M,MATCH(tbAREAS[[#This Row],[TIPO DE ÁREA]],PRODUTIVIDADES!$B:$B,0)+MATCH(tbAREAS[[#This Row],[LOCALIDADE]],PRODUTIVIDADES!$A:$A,0)-3)*tbAREAS[[#This Row],[ÁREA EM M²]]</f>
        <v>467.74200000000002</v>
      </c>
      <c r="L1184" s="391"/>
    </row>
    <row r="1185" spans="1:12" hidden="1" x14ac:dyDescent="0.25">
      <c r="A1185" s="228" t="s">
        <v>35</v>
      </c>
      <c r="B1185" s="234" t="s">
        <v>407</v>
      </c>
      <c r="C1185" s="230" t="s">
        <v>422</v>
      </c>
      <c r="D1185" s="230" t="s">
        <v>423</v>
      </c>
      <c r="E1185" s="229" t="s">
        <v>10</v>
      </c>
      <c r="F1185" s="231">
        <v>36</v>
      </c>
      <c r="G1185" s="229" t="s">
        <v>1</v>
      </c>
      <c r="H1185" s="405">
        <f ca="1">INDEX(PRODUTIVIDADES!$M:$M,MATCH(tbAREAS[[#This Row],[TIPO DE ÁREA]],PRODUTIVIDADES!$B:$B,0)+MATCH(tbAREAS[[#This Row],[LOCALIDADE]],PRODUTIVIDADES!$A:$A,0)-3)*tbAREAS[[#This Row],[ÁREA EM M²]]</f>
        <v>97.56</v>
      </c>
      <c r="L1185" s="391"/>
    </row>
    <row r="1186" spans="1:12" hidden="1" x14ac:dyDescent="0.25">
      <c r="A1186" s="228" t="s">
        <v>35</v>
      </c>
      <c r="B1186" s="234" t="s">
        <v>407</v>
      </c>
      <c r="C1186" s="230" t="s">
        <v>422</v>
      </c>
      <c r="D1186" s="230" t="s">
        <v>423</v>
      </c>
      <c r="E1186" s="229" t="s">
        <v>14</v>
      </c>
      <c r="F1186" s="231">
        <v>87</v>
      </c>
      <c r="G1186" s="229" t="s">
        <v>1</v>
      </c>
      <c r="H1186" s="405">
        <f ca="1">INDEX(PRODUTIVIDADES!$M:$M,MATCH(tbAREAS[[#This Row],[TIPO DE ÁREA]],PRODUTIVIDADES!$B:$B,0)+MATCH(tbAREAS[[#This Row],[LOCALIDADE]],PRODUTIVIDADES!$A:$A,0)-3)*tbAREAS[[#This Row],[ÁREA EM M²]]</f>
        <v>642.92999999999995</v>
      </c>
      <c r="L1186" s="391"/>
    </row>
    <row r="1187" spans="1:12" hidden="1" x14ac:dyDescent="0.25">
      <c r="A1187" s="228" t="s">
        <v>35</v>
      </c>
      <c r="B1187" s="234" t="s">
        <v>407</v>
      </c>
      <c r="C1187" s="230" t="s">
        <v>422</v>
      </c>
      <c r="D1187" s="230" t="s">
        <v>423</v>
      </c>
      <c r="E1187" s="229" t="s">
        <v>15</v>
      </c>
      <c r="F1187" s="231">
        <v>12</v>
      </c>
      <c r="G1187" s="229" t="s">
        <v>1</v>
      </c>
      <c r="H1187" s="405">
        <f ca="1">INDEX(PRODUTIVIDADES!$M:$M,MATCH(tbAREAS[[#This Row],[TIPO DE ÁREA]],PRODUTIVIDADES!$B:$B,0)+MATCH(tbAREAS[[#This Row],[LOCALIDADE]],PRODUTIVIDADES!$A:$A,0)-3)*tbAREAS[[#This Row],[ÁREA EM M²]]</f>
        <v>7.1999999999999993</v>
      </c>
      <c r="L1187" s="391"/>
    </row>
    <row r="1188" spans="1:12" hidden="1" x14ac:dyDescent="0.25">
      <c r="A1188" s="228" t="s">
        <v>35</v>
      </c>
      <c r="B1188" s="234" t="s">
        <v>407</v>
      </c>
      <c r="C1188" s="230" t="s">
        <v>422</v>
      </c>
      <c r="D1188" s="230" t="s">
        <v>423</v>
      </c>
      <c r="E1188" s="229" t="s">
        <v>17</v>
      </c>
      <c r="F1188" s="231">
        <v>23.35</v>
      </c>
      <c r="G1188" s="229" t="s">
        <v>1</v>
      </c>
      <c r="H1188" s="405">
        <f ca="1">INDEX(PRODUTIVIDADES!$M:$M,MATCH(tbAREAS[[#This Row],[TIPO DE ÁREA]],PRODUTIVIDADES!$B:$B,0)+MATCH(tbAREAS[[#This Row],[LOCALIDADE]],PRODUTIVIDADES!$A:$A,0)-3)*tbAREAS[[#This Row],[ÁREA EM M²]]</f>
        <v>47.400500000000001</v>
      </c>
      <c r="L1188" s="391"/>
    </row>
    <row r="1189" spans="1:12" hidden="1" x14ac:dyDescent="0.25">
      <c r="A1189" s="228" t="s">
        <v>35</v>
      </c>
      <c r="B1189" s="234" t="s">
        <v>407</v>
      </c>
      <c r="C1189" s="230" t="s">
        <v>422</v>
      </c>
      <c r="D1189" s="230" t="s">
        <v>423</v>
      </c>
      <c r="E1189" s="229" t="s">
        <v>18</v>
      </c>
      <c r="F1189" s="231">
        <v>8.6</v>
      </c>
      <c r="G1189" s="229" t="s">
        <v>1</v>
      </c>
      <c r="H1189" s="405">
        <f ca="1">INDEX(PRODUTIVIDADES!$M:$M,MATCH(tbAREAS[[#This Row],[TIPO DE ÁREA]],PRODUTIVIDADES!$B:$B,0)+MATCH(tbAREAS[[#This Row],[LOCALIDADE]],PRODUTIVIDADES!$A:$A,0)-3)*tbAREAS[[#This Row],[ÁREA EM M²]]</f>
        <v>340.47399999999999</v>
      </c>
      <c r="L1189" s="391"/>
    </row>
    <row r="1190" spans="1:12" hidden="1" x14ac:dyDescent="0.25">
      <c r="A1190" s="228" t="s">
        <v>35</v>
      </c>
      <c r="B1190" s="234" t="s">
        <v>407</v>
      </c>
      <c r="C1190" s="230" t="s">
        <v>422</v>
      </c>
      <c r="D1190" s="230" t="s">
        <v>423</v>
      </c>
      <c r="E1190" s="229" t="s">
        <v>20</v>
      </c>
      <c r="F1190" s="231">
        <v>19.13</v>
      </c>
      <c r="G1190" s="229" t="s">
        <v>1</v>
      </c>
      <c r="H1190" s="405">
        <f ca="1">INDEX(PRODUTIVIDADES!$M:$M,MATCH(tbAREAS[[#This Row],[TIPO DE ÁREA]],PRODUTIVIDADES!$B:$B,0)+MATCH(tbAREAS[[#This Row],[LOCALIDADE]],PRODUTIVIDADES!$A:$A,0)-3)*tbAREAS[[#This Row],[ÁREA EM M²]]</f>
        <v>12.8171</v>
      </c>
      <c r="L1190" s="391"/>
    </row>
    <row r="1191" spans="1:12" hidden="1" x14ac:dyDescent="0.25">
      <c r="A1191" s="228" t="s">
        <v>35</v>
      </c>
      <c r="B1191" s="234" t="s">
        <v>407</v>
      </c>
      <c r="C1191" s="230" t="s">
        <v>422</v>
      </c>
      <c r="D1191" s="230" t="s">
        <v>423</v>
      </c>
      <c r="E1191" s="229" t="s">
        <v>21</v>
      </c>
      <c r="F1191" s="231">
        <v>42</v>
      </c>
      <c r="G1191" s="229" t="s">
        <v>1</v>
      </c>
      <c r="H1191" s="405">
        <f ca="1">INDEX(PRODUTIVIDADES!$M:$M,MATCH(tbAREAS[[#This Row],[TIPO DE ÁREA]],PRODUTIVIDADES!$B:$B,0)+MATCH(tbAREAS[[#This Row],[LOCALIDADE]],PRODUTIVIDADES!$A:$A,0)-3)*tbAREAS[[#This Row],[ÁREA EM M²]]</f>
        <v>7.1400000000000006</v>
      </c>
      <c r="L1191" s="391"/>
    </row>
    <row r="1192" spans="1:12" hidden="1" x14ac:dyDescent="0.25">
      <c r="A1192" s="228" t="s">
        <v>35</v>
      </c>
      <c r="B1192" s="234" t="s">
        <v>407</v>
      </c>
      <c r="C1192" s="230" t="s">
        <v>422</v>
      </c>
      <c r="D1192" s="230" t="s">
        <v>423</v>
      </c>
      <c r="E1192" s="229" t="s">
        <v>22</v>
      </c>
      <c r="F1192" s="231">
        <v>42</v>
      </c>
      <c r="G1192" s="229" t="s">
        <v>1</v>
      </c>
      <c r="H1192" s="405">
        <f ca="1">INDEX(PRODUTIVIDADES!$M:$M,MATCH(tbAREAS[[#This Row],[TIPO DE ÁREA]],PRODUTIVIDADES!$B:$B,0)+MATCH(tbAREAS[[#This Row],[LOCALIDADE]],PRODUTIVIDADES!$A:$A,0)-3)*tbAREAS[[#This Row],[ÁREA EM M²]]</f>
        <v>16.8</v>
      </c>
      <c r="L1192" s="391"/>
    </row>
    <row r="1193" spans="1:12" hidden="1" x14ac:dyDescent="0.25">
      <c r="A1193" s="228" t="s">
        <v>35</v>
      </c>
      <c r="B1193" s="234" t="s">
        <v>407</v>
      </c>
      <c r="C1193" s="230" t="s">
        <v>424</v>
      </c>
      <c r="D1193" s="230" t="s">
        <v>425</v>
      </c>
      <c r="E1193" s="229" t="s">
        <v>17</v>
      </c>
      <c r="F1193" s="231">
        <v>186.4</v>
      </c>
      <c r="G1193" s="229" t="s">
        <v>1</v>
      </c>
      <c r="H1193" s="405">
        <f ca="1">INDEX(PRODUTIVIDADES!$M:$M,MATCH(tbAREAS[[#This Row],[TIPO DE ÁREA]],PRODUTIVIDADES!$B:$B,0)+MATCH(tbAREAS[[#This Row],[LOCALIDADE]],PRODUTIVIDADES!$A:$A,0)-3)*tbAREAS[[#This Row],[ÁREA EM M²]]</f>
        <v>378.392</v>
      </c>
      <c r="L1193" s="391"/>
    </row>
    <row r="1194" spans="1:12" hidden="1" x14ac:dyDescent="0.25">
      <c r="A1194" s="228" t="s">
        <v>35</v>
      </c>
      <c r="B1194" s="234" t="s">
        <v>407</v>
      </c>
      <c r="C1194" s="230" t="s">
        <v>424</v>
      </c>
      <c r="D1194" s="230" t="s">
        <v>425</v>
      </c>
      <c r="E1194" s="229" t="s">
        <v>21</v>
      </c>
      <c r="F1194" s="231">
        <v>10.199999999999999</v>
      </c>
      <c r="G1194" s="229" t="s">
        <v>1</v>
      </c>
      <c r="H1194" s="405">
        <f ca="1">INDEX(PRODUTIVIDADES!$M:$M,MATCH(tbAREAS[[#This Row],[TIPO DE ÁREA]],PRODUTIVIDADES!$B:$B,0)+MATCH(tbAREAS[[#This Row],[LOCALIDADE]],PRODUTIVIDADES!$A:$A,0)-3)*tbAREAS[[#This Row],[ÁREA EM M²]]</f>
        <v>1.734</v>
      </c>
      <c r="L1194" s="391"/>
    </row>
    <row r="1195" spans="1:12" hidden="1" x14ac:dyDescent="0.25">
      <c r="A1195" s="228" t="s">
        <v>35</v>
      </c>
      <c r="B1195" s="234" t="s">
        <v>407</v>
      </c>
      <c r="C1195" s="230" t="s">
        <v>424</v>
      </c>
      <c r="D1195" s="230" t="s">
        <v>425</v>
      </c>
      <c r="E1195" s="229" t="s">
        <v>22</v>
      </c>
      <c r="F1195" s="231">
        <v>10.199999999999999</v>
      </c>
      <c r="G1195" s="229" t="s">
        <v>1</v>
      </c>
      <c r="H1195" s="405">
        <f ca="1">INDEX(PRODUTIVIDADES!$M:$M,MATCH(tbAREAS[[#This Row],[TIPO DE ÁREA]],PRODUTIVIDADES!$B:$B,0)+MATCH(tbAREAS[[#This Row],[LOCALIDADE]],PRODUTIVIDADES!$A:$A,0)-3)*tbAREAS[[#This Row],[ÁREA EM M²]]</f>
        <v>4.08</v>
      </c>
      <c r="L1195" s="391"/>
    </row>
    <row r="1196" spans="1:12" hidden="1" x14ac:dyDescent="0.25">
      <c r="A1196" s="228" t="s">
        <v>35</v>
      </c>
      <c r="B1196" s="234" t="s">
        <v>407</v>
      </c>
      <c r="C1196" s="230" t="s">
        <v>426</v>
      </c>
      <c r="D1196" s="230" t="s">
        <v>425</v>
      </c>
      <c r="E1196" s="229" t="s">
        <v>17</v>
      </c>
      <c r="F1196" s="231">
        <v>186.04</v>
      </c>
      <c r="G1196" s="229" t="s">
        <v>1</v>
      </c>
      <c r="H1196" s="405">
        <f ca="1">INDEX(PRODUTIVIDADES!$M:$M,MATCH(tbAREAS[[#This Row],[TIPO DE ÁREA]],PRODUTIVIDADES!$B:$B,0)+MATCH(tbAREAS[[#This Row],[LOCALIDADE]],PRODUTIVIDADES!$A:$A,0)-3)*tbAREAS[[#This Row],[ÁREA EM M²]]</f>
        <v>377.66119999999995</v>
      </c>
      <c r="L1196" s="391"/>
    </row>
    <row r="1197" spans="1:12" hidden="1" x14ac:dyDescent="0.25">
      <c r="A1197" s="228" t="s">
        <v>35</v>
      </c>
      <c r="B1197" s="234" t="s">
        <v>407</v>
      </c>
      <c r="C1197" s="230" t="s">
        <v>426</v>
      </c>
      <c r="D1197" s="230" t="s">
        <v>425</v>
      </c>
      <c r="E1197" s="229" t="s">
        <v>21</v>
      </c>
      <c r="F1197" s="231">
        <v>10.199999999999999</v>
      </c>
      <c r="G1197" s="229" t="s">
        <v>1</v>
      </c>
      <c r="H1197" s="405">
        <f ca="1">INDEX(PRODUTIVIDADES!$M:$M,MATCH(tbAREAS[[#This Row],[TIPO DE ÁREA]],PRODUTIVIDADES!$B:$B,0)+MATCH(tbAREAS[[#This Row],[LOCALIDADE]],PRODUTIVIDADES!$A:$A,0)-3)*tbAREAS[[#This Row],[ÁREA EM M²]]</f>
        <v>1.734</v>
      </c>
      <c r="L1197" s="391"/>
    </row>
    <row r="1198" spans="1:12" hidden="1" x14ac:dyDescent="0.25">
      <c r="A1198" s="228" t="s">
        <v>35</v>
      </c>
      <c r="B1198" s="234" t="s">
        <v>407</v>
      </c>
      <c r="C1198" s="230" t="s">
        <v>426</v>
      </c>
      <c r="D1198" s="230" t="s">
        <v>425</v>
      </c>
      <c r="E1198" s="229" t="s">
        <v>22</v>
      </c>
      <c r="F1198" s="231">
        <v>10.199999999999999</v>
      </c>
      <c r="G1198" s="229" t="s">
        <v>1</v>
      </c>
      <c r="H1198" s="405">
        <f ca="1">INDEX(PRODUTIVIDADES!$M:$M,MATCH(tbAREAS[[#This Row],[TIPO DE ÁREA]],PRODUTIVIDADES!$B:$B,0)+MATCH(tbAREAS[[#This Row],[LOCALIDADE]],PRODUTIVIDADES!$A:$A,0)-3)*tbAREAS[[#This Row],[ÁREA EM M²]]</f>
        <v>4.08</v>
      </c>
      <c r="L1198" s="391"/>
    </row>
    <row r="1199" spans="1:12" hidden="1" x14ac:dyDescent="0.25">
      <c r="A1199" s="228" t="s">
        <v>35</v>
      </c>
      <c r="B1199" s="234" t="s">
        <v>407</v>
      </c>
      <c r="C1199" s="230" t="s">
        <v>427</v>
      </c>
      <c r="D1199" s="230" t="s">
        <v>428</v>
      </c>
      <c r="E1199" s="229" t="s">
        <v>9</v>
      </c>
      <c r="F1199" s="231">
        <v>226.53</v>
      </c>
      <c r="G1199" s="229" t="s">
        <v>1</v>
      </c>
      <c r="H1199" s="405">
        <f ca="1">INDEX(PRODUTIVIDADES!$M:$M,MATCH(tbAREAS[[#This Row],[TIPO DE ÁREA]],PRODUTIVIDADES!$B:$B,0)+MATCH(tbAREAS[[#This Row],[LOCALIDADE]],PRODUTIVIDADES!$A:$A,0)-3)*tbAREAS[[#This Row],[ÁREA EM M²]]</f>
        <v>1689.9138</v>
      </c>
      <c r="L1199" s="391"/>
    </row>
    <row r="1200" spans="1:12" hidden="1" x14ac:dyDescent="0.25">
      <c r="A1200" s="228" t="s">
        <v>35</v>
      </c>
      <c r="B1200" s="234" t="s">
        <v>407</v>
      </c>
      <c r="C1200" s="230" t="s">
        <v>427</v>
      </c>
      <c r="D1200" s="230" t="s">
        <v>428</v>
      </c>
      <c r="E1200" s="229" t="s">
        <v>10</v>
      </c>
      <c r="F1200" s="231">
        <v>103.08</v>
      </c>
      <c r="G1200" s="229" t="s">
        <v>1</v>
      </c>
      <c r="H1200" s="405">
        <f ca="1">INDEX(PRODUTIVIDADES!$M:$M,MATCH(tbAREAS[[#This Row],[TIPO DE ÁREA]],PRODUTIVIDADES!$B:$B,0)+MATCH(tbAREAS[[#This Row],[LOCALIDADE]],PRODUTIVIDADES!$A:$A,0)-3)*tbAREAS[[#This Row],[ÁREA EM M²]]</f>
        <v>279.34679999999997</v>
      </c>
      <c r="L1200" s="391"/>
    </row>
    <row r="1201" spans="1:12" hidden="1" x14ac:dyDescent="0.25">
      <c r="A1201" s="228" t="s">
        <v>35</v>
      </c>
      <c r="B1201" s="234" t="s">
        <v>407</v>
      </c>
      <c r="C1201" s="230" t="s">
        <v>427</v>
      </c>
      <c r="D1201" s="230" t="s">
        <v>428</v>
      </c>
      <c r="E1201" s="229" t="s">
        <v>17</v>
      </c>
      <c r="F1201" s="231">
        <v>57.22</v>
      </c>
      <c r="G1201" s="229" t="s">
        <v>1</v>
      </c>
      <c r="H1201" s="405">
        <f ca="1">INDEX(PRODUTIVIDADES!$M:$M,MATCH(tbAREAS[[#This Row],[TIPO DE ÁREA]],PRODUTIVIDADES!$B:$B,0)+MATCH(tbAREAS[[#This Row],[LOCALIDADE]],PRODUTIVIDADES!$A:$A,0)-3)*tbAREAS[[#This Row],[ÁREA EM M²]]</f>
        <v>116.15659999999998</v>
      </c>
      <c r="L1201" s="391"/>
    </row>
    <row r="1202" spans="1:12" hidden="1" x14ac:dyDescent="0.25">
      <c r="A1202" s="228" t="s">
        <v>35</v>
      </c>
      <c r="B1202" s="234" t="s">
        <v>407</v>
      </c>
      <c r="C1202" s="230" t="s">
        <v>427</v>
      </c>
      <c r="D1202" s="230" t="s">
        <v>428</v>
      </c>
      <c r="E1202" s="229" t="s">
        <v>18</v>
      </c>
      <c r="F1202" s="231">
        <v>8.06</v>
      </c>
      <c r="G1202" s="229" t="s">
        <v>1</v>
      </c>
      <c r="H1202" s="405">
        <f ca="1">INDEX(PRODUTIVIDADES!$M:$M,MATCH(tbAREAS[[#This Row],[TIPO DE ÁREA]],PRODUTIVIDADES!$B:$B,0)+MATCH(tbAREAS[[#This Row],[LOCALIDADE]],PRODUTIVIDADES!$A:$A,0)-3)*tbAREAS[[#This Row],[ÁREA EM M²]]</f>
        <v>319.09540000000004</v>
      </c>
      <c r="L1202" s="391"/>
    </row>
    <row r="1203" spans="1:12" hidden="1" x14ac:dyDescent="0.25">
      <c r="A1203" s="228" t="s">
        <v>35</v>
      </c>
      <c r="B1203" s="234" t="s">
        <v>407</v>
      </c>
      <c r="C1203" s="230" t="s">
        <v>427</v>
      </c>
      <c r="D1203" s="230" t="s">
        <v>428</v>
      </c>
      <c r="E1203" s="229" t="s">
        <v>21</v>
      </c>
      <c r="F1203" s="231">
        <v>56.2</v>
      </c>
      <c r="G1203" s="229" t="s">
        <v>1</v>
      </c>
      <c r="H1203" s="405">
        <f ca="1">INDEX(PRODUTIVIDADES!$M:$M,MATCH(tbAREAS[[#This Row],[TIPO DE ÁREA]],PRODUTIVIDADES!$B:$B,0)+MATCH(tbAREAS[[#This Row],[LOCALIDADE]],PRODUTIVIDADES!$A:$A,0)-3)*tbAREAS[[#This Row],[ÁREA EM M²]]</f>
        <v>9.554000000000002</v>
      </c>
      <c r="L1203" s="391"/>
    </row>
    <row r="1204" spans="1:12" hidden="1" x14ac:dyDescent="0.25">
      <c r="A1204" s="228" t="s">
        <v>35</v>
      </c>
      <c r="B1204" s="234" t="s">
        <v>407</v>
      </c>
      <c r="C1204" s="230" t="s">
        <v>427</v>
      </c>
      <c r="D1204" s="230" t="s">
        <v>428</v>
      </c>
      <c r="E1204" s="229" t="s">
        <v>22</v>
      </c>
      <c r="F1204" s="231">
        <v>56.2</v>
      </c>
      <c r="G1204" s="229" t="s">
        <v>1</v>
      </c>
      <c r="H1204" s="405">
        <f ca="1">INDEX(PRODUTIVIDADES!$M:$M,MATCH(tbAREAS[[#This Row],[TIPO DE ÁREA]],PRODUTIVIDADES!$B:$B,0)+MATCH(tbAREAS[[#This Row],[LOCALIDADE]],PRODUTIVIDADES!$A:$A,0)-3)*tbAREAS[[#This Row],[ÁREA EM M²]]</f>
        <v>22.480000000000004</v>
      </c>
      <c r="L1204" s="391"/>
    </row>
    <row r="1205" spans="1:12" hidden="1" x14ac:dyDescent="0.25">
      <c r="A1205" s="228" t="s">
        <v>35</v>
      </c>
      <c r="B1205" s="234" t="s">
        <v>407</v>
      </c>
      <c r="C1205" s="230" t="s">
        <v>406</v>
      </c>
      <c r="D1205" s="230" t="s">
        <v>429</v>
      </c>
      <c r="E1205" s="229" t="s">
        <v>10</v>
      </c>
      <c r="F1205" s="231">
        <v>94.83</v>
      </c>
      <c r="G1205" s="229" t="s">
        <v>1</v>
      </c>
      <c r="H1205" s="405">
        <f ca="1">INDEX(PRODUTIVIDADES!$M:$M,MATCH(tbAREAS[[#This Row],[TIPO DE ÁREA]],PRODUTIVIDADES!$B:$B,0)+MATCH(tbAREAS[[#This Row],[LOCALIDADE]],PRODUTIVIDADES!$A:$A,0)-3)*tbAREAS[[#This Row],[ÁREA EM M²]]</f>
        <v>256.98930000000001</v>
      </c>
      <c r="L1205" s="391"/>
    </row>
    <row r="1206" spans="1:12" hidden="1" x14ac:dyDescent="0.25">
      <c r="A1206" s="228" t="s">
        <v>35</v>
      </c>
      <c r="B1206" s="234" t="s">
        <v>407</v>
      </c>
      <c r="C1206" s="230" t="s">
        <v>406</v>
      </c>
      <c r="D1206" s="230" t="s">
        <v>429</v>
      </c>
      <c r="E1206" s="229" t="s">
        <v>15</v>
      </c>
      <c r="F1206" s="231">
        <v>315.81</v>
      </c>
      <c r="G1206" s="229" t="s">
        <v>1</v>
      </c>
      <c r="H1206" s="405">
        <f ca="1">INDEX(PRODUTIVIDADES!$M:$M,MATCH(tbAREAS[[#This Row],[TIPO DE ÁREA]],PRODUTIVIDADES!$B:$B,0)+MATCH(tbAREAS[[#This Row],[LOCALIDADE]],PRODUTIVIDADES!$A:$A,0)-3)*tbAREAS[[#This Row],[ÁREA EM M²]]</f>
        <v>189.48599999999999</v>
      </c>
      <c r="L1206" s="391"/>
    </row>
    <row r="1207" spans="1:12" hidden="1" x14ac:dyDescent="0.25">
      <c r="A1207" s="228" t="s">
        <v>35</v>
      </c>
      <c r="B1207" s="234" t="s">
        <v>407</v>
      </c>
      <c r="C1207" s="230" t="s">
        <v>406</v>
      </c>
      <c r="D1207" s="230" t="s">
        <v>429</v>
      </c>
      <c r="E1207" s="229" t="s">
        <v>17</v>
      </c>
      <c r="F1207" s="231">
        <v>13.63</v>
      </c>
      <c r="G1207" s="229" t="s">
        <v>1</v>
      </c>
      <c r="H1207" s="405">
        <f ca="1">INDEX(PRODUTIVIDADES!$M:$M,MATCH(tbAREAS[[#This Row],[TIPO DE ÁREA]],PRODUTIVIDADES!$B:$B,0)+MATCH(tbAREAS[[#This Row],[LOCALIDADE]],PRODUTIVIDADES!$A:$A,0)-3)*tbAREAS[[#This Row],[ÁREA EM M²]]</f>
        <v>27.668899999999997</v>
      </c>
      <c r="L1207" s="391"/>
    </row>
    <row r="1208" spans="1:12" hidden="1" x14ac:dyDescent="0.25">
      <c r="A1208" s="228" t="s">
        <v>35</v>
      </c>
      <c r="B1208" s="234" t="s">
        <v>407</v>
      </c>
      <c r="C1208" s="230" t="s">
        <v>406</v>
      </c>
      <c r="D1208" s="230" t="s">
        <v>429</v>
      </c>
      <c r="E1208" s="229" t="s">
        <v>18</v>
      </c>
      <c r="F1208" s="231">
        <v>8.64</v>
      </c>
      <c r="G1208" s="229" t="s">
        <v>1</v>
      </c>
      <c r="H1208" s="405">
        <f ca="1">INDEX(PRODUTIVIDADES!$M:$M,MATCH(tbAREAS[[#This Row],[TIPO DE ÁREA]],PRODUTIVIDADES!$B:$B,0)+MATCH(tbAREAS[[#This Row],[LOCALIDADE]],PRODUTIVIDADES!$A:$A,0)-3)*tbAREAS[[#This Row],[ÁREA EM M²]]</f>
        <v>342.05760000000004</v>
      </c>
      <c r="L1208" s="391"/>
    </row>
    <row r="1209" spans="1:12" hidden="1" x14ac:dyDescent="0.25">
      <c r="A1209" s="228" t="s">
        <v>35</v>
      </c>
      <c r="B1209" s="234" t="s">
        <v>407</v>
      </c>
      <c r="C1209" s="230" t="s">
        <v>406</v>
      </c>
      <c r="D1209" s="230" t="s">
        <v>429</v>
      </c>
      <c r="E1209" s="229" t="s">
        <v>21</v>
      </c>
      <c r="F1209" s="231">
        <v>12.4</v>
      </c>
      <c r="G1209" s="229" t="s">
        <v>1</v>
      </c>
      <c r="H1209" s="405">
        <f ca="1">INDEX(PRODUTIVIDADES!$M:$M,MATCH(tbAREAS[[#This Row],[TIPO DE ÁREA]],PRODUTIVIDADES!$B:$B,0)+MATCH(tbAREAS[[#This Row],[LOCALIDADE]],PRODUTIVIDADES!$A:$A,0)-3)*tbAREAS[[#This Row],[ÁREA EM M²]]</f>
        <v>2.1080000000000001</v>
      </c>
      <c r="L1209" s="391"/>
    </row>
    <row r="1210" spans="1:12" hidden="1" x14ac:dyDescent="0.25">
      <c r="A1210" s="228" t="s">
        <v>35</v>
      </c>
      <c r="B1210" s="234" t="s">
        <v>407</v>
      </c>
      <c r="C1210" s="230" t="s">
        <v>406</v>
      </c>
      <c r="D1210" s="230" t="s">
        <v>429</v>
      </c>
      <c r="E1210" s="229" t="s">
        <v>22</v>
      </c>
      <c r="F1210" s="231">
        <v>12.4</v>
      </c>
      <c r="G1210" s="229" t="s">
        <v>1</v>
      </c>
      <c r="H1210" s="405">
        <f ca="1">INDEX(PRODUTIVIDADES!$M:$M,MATCH(tbAREAS[[#This Row],[TIPO DE ÁREA]],PRODUTIVIDADES!$B:$B,0)+MATCH(tbAREAS[[#This Row],[LOCALIDADE]],PRODUTIVIDADES!$A:$A,0)-3)*tbAREAS[[#This Row],[ÁREA EM M²]]</f>
        <v>4.9600000000000009</v>
      </c>
      <c r="L1210" s="391"/>
    </row>
    <row r="1211" spans="1:12" hidden="1" x14ac:dyDescent="0.25">
      <c r="A1211" s="228" t="s">
        <v>35</v>
      </c>
      <c r="B1211" s="234" t="s">
        <v>407</v>
      </c>
      <c r="C1211" s="230" t="s">
        <v>430</v>
      </c>
      <c r="D1211" s="230" t="s">
        <v>380</v>
      </c>
      <c r="E1211" s="229" t="s">
        <v>9</v>
      </c>
      <c r="F1211" s="231">
        <v>100</v>
      </c>
      <c r="G1211" s="229" t="s">
        <v>1</v>
      </c>
      <c r="H1211" s="405">
        <f ca="1">INDEX(PRODUTIVIDADES!$M:$M,MATCH(tbAREAS[[#This Row],[TIPO DE ÁREA]],PRODUTIVIDADES!$B:$B,0)+MATCH(tbAREAS[[#This Row],[LOCALIDADE]],PRODUTIVIDADES!$A:$A,0)-3)*tbAREAS[[#This Row],[ÁREA EM M²]]</f>
        <v>746</v>
      </c>
      <c r="L1211" s="391"/>
    </row>
    <row r="1212" spans="1:12" hidden="1" x14ac:dyDescent="0.25">
      <c r="A1212" s="228" t="s">
        <v>35</v>
      </c>
      <c r="B1212" s="234" t="s">
        <v>407</v>
      </c>
      <c r="C1212" s="230" t="s">
        <v>430</v>
      </c>
      <c r="D1212" s="230" t="s">
        <v>380</v>
      </c>
      <c r="E1212" s="229" t="s">
        <v>10</v>
      </c>
      <c r="F1212" s="231">
        <v>96.52</v>
      </c>
      <c r="G1212" s="229" t="s">
        <v>1</v>
      </c>
      <c r="H1212" s="405">
        <f ca="1">INDEX(PRODUTIVIDADES!$M:$M,MATCH(tbAREAS[[#This Row],[TIPO DE ÁREA]],PRODUTIVIDADES!$B:$B,0)+MATCH(tbAREAS[[#This Row],[LOCALIDADE]],PRODUTIVIDADES!$A:$A,0)-3)*tbAREAS[[#This Row],[ÁREA EM M²]]</f>
        <v>261.56919999999997</v>
      </c>
      <c r="L1212" s="391"/>
    </row>
    <row r="1213" spans="1:12" hidden="1" x14ac:dyDescent="0.25">
      <c r="A1213" s="228" t="s">
        <v>35</v>
      </c>
      <c r="B1213" s="234" t="s">
        <v>407</v>
      </c>
      <c r="C1213" s="230" t="s">
        <v>430</v>
      </c>
      <c r="D1213" s="230" t="s">
        <v>380</v>
      </c>
      <c r="E1213" s="229" t="s">
        <v>15</v>
      </c>
      <c r="F1213" s="231">
        <v>203.7</v>
      </c>
      <c r="G1213" s="229" t="s">
        <v>1</v>
      </c>
      <c r="H1213" s="405">
        <f ca="1">INDEX(PRODUTIVIDADES!$M:$M,MATCH(tbAREAS[[#This Row],[TIPO DE ÁREA]],PRODUTIVIDADES!$B:$B,0)+MATCH(tbAREAS[[#This Row],[LOCALIDADE]],PRODUTIVIDADES!$A:$A,0)-3)*tbAREAS[[#This Row],[ÁREA EM M²]]</f>
        <v>122.21999999999998</v>
      </c>
      <c r="L1213" s="391"/>
    </row>
    <row r="1214" spans="1:12" hidden="1" x14ac:dyDescent="0.25">
      <c r="A1214" s="228" t="s">
        <v>35</v>
      </c>
      <c r="B1214" s="234" t="s">
        <v>407</v>
      </c>
      <c r="C1214" s="230" t="s">
        <v>430</v>
      </c>
      <c r="D1214" s="230" t="s">
        <v>380</v>
      </c>
      <c r="E1214" s="229" t="s">
        <v>16</v>
      </c>
      <c r="F1214" s="231">
        <v>26.74</v>
      </c>
      <c r="G1214" s="229" t="s">
        <v>1</v>
      </c>
      <c r="H1214" s="405">
        <f ca="1">INDEX(PRODUTIVIDADES!$M:$M,MATCH(tbAREAS[[#This Row],[TIPO DE ÁREA]],PRODUTIVIDADES!$B:$B,0)+MATCH(tbAREAS[[#This Row],[LOCALIDADE]],PRODUTIVIDADES!$A:$A,0)-3)*tbAREAS[[#This Row],[ÁREA EM M²]]</f>
        <v>17.915800000000001</v>
      </c>
      <c r="L1214" s="391"/>
    </row>
    <row r="1215" spans="1:12" hidden="1" x14ac:dyDescent="0.25">
      <c r="A1215" s="228" t="s">
        <v>35</v>
      </c>
      <c r="B1215" s="234" t="s">
        <v>407</v>
      </c>
      <c r="C1215" s="230" t="s">
        <v>430</v>
      </c>
      <c r="D1215" s="230" t="s">
        <v>380</v>
      </c>
      <c r="E1215" s="229" t="s">
        <v>17</v>
      </c>
      <c r="F1215" s="231">
        <v>48.45</v>
      </c>
      <c r="G1215" s="229" t="s">
        <v>1</v>
      </c>
      <c r="H1215" s="405">
        <f ca="1">INDEX(PRODUTIVIDADES!$M:$M,MATCH(tbAREAS[[#This Row],[TIPO DE ÁREA]],PRODUTIVIDADES!$B:$B,0)+MATCH(tbAREAS[[#This Row],[LOCALIDADE]],PRODUTIVIDADES!$A:$A,0)-3)*tbAREAS[[#This Row],[ÁREA EM M²]]</f>
        <v>98.353499999999997</v>
      </c>
      <c r="L1215" s="391"/>
    </row>
    <row r="1216" spans="1:12" hidden="1" x14ac:dyDescent="0.25">
      <c r="A1216" s="228" t="s">
        <v>35</v>
      </c>
      <c r="B1216" s="234" t="s">
        <v>407</v>
      </c>
      <c r="C1216" s="230" t="s">
        <v>430</v>
      </c>
      <c r="D1216" s="230" t="s">
        <v>380</v>
      </c>
      <c r="E1216" s="229" t="s">
        <v>18</v>
      </c>
      <c r="F1216" s="231">
        <v>19</v>
      </c>
      <c r="G1216" s="229" t="s">
        <v>1</v>
      </c>
      <c r="H1216" s="405">
        <f ca="1">INDEX(PRODUTIVIDADES!$M:$M,MATCH(tbAREAS[[#This Row],[TIPO DE ÁREA]],PRODUTIVIDADES!$B:$B,0)+MATCH(tbAREAS[[#This Row],[LOCALIDADE]],PRODUTIVIDADES!$A:$A,0)-3)*tbAREAS[[#This Row],[ÁREA EM M²]]</f>
        <v>752.21</v>
      </c>
      <c r="L1216" s="391"/>
    </row>
    <row r="1217" spans="1:12" hidden="1" x14ac:dyDescent="0.25">
      <c r="A1217" s="228" t="s">
        <v>35</v>
      </c>
      <c r="B1217" s="234" t="s">
        <v>407</v>
      </c>
      <c r="C1217" s="230" t="s">
        <v>430</v>
      </c>
      <c r="D1217" s="230" t="s">
        <v>380</v>
      </c>
      <c r="E1217" s="229" t="s">
        <v>21</v>
      </c>
      <c r="F1217" s="231">
        <v>40</v>
      </c>
      <c r="G1217" s="229" t="s">
        <v>1</v>
      </c>
      <c r="H1217" s="405">
        <f ca="1">INDEX(PRODUTIVIDADES!$M:$M,MATCH(tbAREAS[[#This Row],[TIPO DE ÁREA]],PRODUTIVIDADES!$B:$B,0)+MATCH(tbAREAS[[#This Row],[LOCALIDADE]],PRODUTIVIDADES!$A:$A,0)-3)*tbAREAS[[#This Row],[ÁREA EM M²]]</f>
        <v>6.8000000000000007</v>
      </c>
      <c r="L1217" s="391"/>
    </row>
    <row r="1218" spans="1:12" hidden="1" x14ac:dyDescent="0.25">
      <c r="A1218" s="228" t="s">
        <v>35</v>
      </c>
      <c r="B1218" s="234" t="s">
        <v>407</v>
      </c>
      <c r="C1218" s="230" t="s">
        <v>430</v>
      </c>
      <c r="D1218" s="230" t="s">
        <v>380</v>
      </c>
      <c r="E1218" s="229" t="s">
        <v>22</v>
      </c>
      <c r="F1218" s="231">
        <v>40</v>
      </c>
      <c r="G1218" s="229" t="s">
        <v>1</v>
      </c>
      <c r="H1218" s="405">
        <f ca="1">INDEX(PRODUTIVIDADES!$M:$M,MATCH(tbAREAS[[#This Row],[TIPO DE ÁREA]],PRODUTIVIDADES!$B:$B,0)+MATCH(tbAREAS[[#This Row],[LOCALIDADE]],PRODUTIVIDADES!$A:$A,0)-3)*tbAREAS[[#This Row],[ÁREA EM M²]]</f>
        <v>16</v>
      </c>
      <c r="L1218" s="391"/>
    </row>
    <row r="1219" spans="1:12" hidden="1" x14ac:dyDescent="0.25">
      <c r="A1219" s="228" t="s">
        <v>35</v>
      </c>
      <c r="B1219" s="234" t="s">
        <v>407</v>
      </c>
      <c r="C1219" s="230" t="s">
        <v>431</v>
      </c>
      <c r="D1219" s="230" t="s">
        <v>432</v>
      </c>
      <c r="E1219" s="229" t="s">
        <v>17</v>
      </c>
      <c r="F1219" s="231">
        <v>145.26</v>
      </c>
      <c r="G1219" s="229" t="s">
        <v>1</v>
      </c>
      <c r="H1219" s="405">
        <f ca="1">INDEX(PRODUTIVIDADES!$M:$M,MATCH(tbAREAS[[#This Row],[TIPO DE ÁREA]],PRODUTIVIDADES!$B:$B,0)+MATCH(tbAREAS[[#This Row],[LOCALIDADE]],PRODUTIVIDADES!$A:$A,0)-3)*tbAREAS[[#This Row],[ÁREA EM M²]]</f>
        <v>294.87779999999998</v>
      </c>
      <c r="L1219" s="391"/>
    </row>
    <row r="1220" spans="1:12" hidden="1" x14ac:dyDescent="0.25">
      <c r="A1220" s="228" t="s">
        <v>35</v>
      </c>
      <c r="B1220" s="234" t="s">
        <v>407</v>
      </c>
      <c r="C1220" s="230" t="s">
        <v>431</v>
      </c>
      <c r="D1220" s="230" t="s">
        <v>432</v>
      </c>
      <c r="E1220" s="229" t="s">
        <v>18</v>
      </c>
      <c r="F1220" s="231">
        <v>5.9</v>
      </c>
      <c r="G1220" s="229" t="s">
        <v>1</v>
      </c>
      <c r="H1220" s="405">
        <f ca="1">INDEX(PRODUTIVIDADES!$M:$M,MATCH(tbAREAS[[#This Row],[TIPO DE ÁREA]],PRODUTIVIDADES!$B:$B,0)+MATCH(tbAREAS[[#This Row],[LOCALIDADE]],PRODUTIVIDADES!$A:$A,0)-3)*tbAREAS[[#This Row],[ÁREA EM M²]]</f>
        <v>233.58100000000005</v>
      </c>
      <c r="L1220" s="391"/>
    </row>
    <row r="1221" spans="1:12" hidden="1" x14ac:dyDescent="0.25">
      <c r="A1221" s="228" t="s">
        <v>35</v>
      </c>
      <c r="B1221" s="234" t="s">
        <v>407</v>
      </c>
      <c r="C1221" s="230" t="s">
        <v>431</v>
      </c>
      <c r="D1221" s="230" t="s">
        <v>432</v>
      </c>
      <c r="E1221" s="229" t="s">
        <v>21</v>
      </c>
      <c r="F1221" s="231">
        <v>39.5</v>
      </c>
      <c r="G1221" s="229" t="s">
        <v>1</v>
      </c>
      <c r="H1221" s="405">
        <f ca="1">INDEX(PRODUTIVIDADES!$M:$M,MATCH(tbAREAS[[#This Row],[TIPO DE ÁREA]],PRODUTIVIDADES!$B:$B,0)+MATCH(tbAREAS[[#This Row],[LOCALIDADE]],PRODUTIVIDADES!$A:$A,0)-3)*tbAREAS[[#This Row],[ÁREA EM M²]]</f>
        <v>6.7150000000000007</v>
      </c>
      <c r="L1221" s="391"/>
    </row>
    <row r="1222" spans="1:12" hidden="1" x14ac:dyDescent="0.25">
      <c r="A1222" s="228" t="s">
        <v>35</v>
      </c>
      <c r="B1222" s="234" t="s">
        <v>407</v>
      </c>
      <c r="C1222" s="230" t="s">
        <v>431</v>
      </c>
      <c r="D1222" s="230" t="s">
        <v>432</v>
      </c>
      <c r="E1222" s="229" t="s">
        <v>22</v>
      </c>
      <c r="F1222" s="231">
        <v>39.5</v>
      </c>
      <c r="G1222" s="229" t="s">
        <v>1</v>
      </c>
      <c r="H1222" s="405">
        <f ca="1">INDEX(PRODUTIVIDADES!$M:$M,MATCH(tbAREAS[[#This Row],[TIPO DE ÁREA]],PRODUTIVIDADES!$B:$B,0)+MATCH(tbAREAS[[#This Row],[LOCALIDADE]],PRODUTIVIDADES!$A:$A,0)-3)*tbAREAS[[#This Row],[ÁREA EM M²]]</f>
        <v>15.8</v>
      </c>
      <c r="L1222" s="391"/>
    </row>
    <row r="1223" spans="1:12" hidden="1" x14ac:dyDescent="0.25">
      <c r="A1223" s="228" t="s">
        <v>35</v>
      </c>
      <c r="B1223" s="234" t="s">
        <v>407</v>
      </c>
      <c r="C1223" s="230" t="s">
        <v>433</v>
      </c>
      <c r="D1223" s="230" t="s">
        <v>434</v>
      </c>
      <c r="E1223" s="229" t="s">
        <v>17</v>
      </c>
      <c r="F1223" s="231">
        <v>153.94999999999999</v>
      </c>
      <c r="G1223" s="229" t="s">
        <v>1</v>
      </c>
      <c r="H1223" s="405">
        <f ca="1">INDEX(PRODUTIVIDADES!$M:$M,MATCH(tbAREAS[[#This Row],[TIPO DE ÁREA]],PRODUTIVIDADES!$B:$B,0)+MATCH(tbAREAS[[#This Row],[LOCALIDADE]],PRODUTIVIDADES!$A:$A,0)-3)*tbAREAS[[#This Row],[ÁREA EM M²]]</f>
        <v>312.51849999999996</v>
      </c>
      <c r="L1223" s="391"/>
    </row>
    <row r="1224" spans="1:12" hidden="1" x14ac:dyDescent="0.25">
      <c r="A1224" s="228" t="s">
        <v>35</v>
      </c>
      <c r="B1224" s="234" t="s">
        <v>407</v>
      </c>
      <c r="C1224" s="230" t="s">
        <v>433</v>
      </c>
      <c r="D1224" s="230" t="s">
        <v>434</v>
      </c>
      <c r="E1224" s="229" t="s">
        <v>18</v>
      </c>
      <c r="F1224" s="231">
        <v>6.8</v>
      </c>
      <c r="G1224" s="229" t="s">
        <v>1</v>
      </c>
      <c r="H1224" s="405">
        <f ca="1">INDEX(PRODUTIVIDADES!$M:$M,MATCH(tbAREAS[[#This Row],[TIPO DE ÁREA]],PRODUTIVIDADES!$B:$B,0)+MATCH(tbAREAS[[#This Row],[LOCALIDADE]],PRODUTIVIDADES!$A:$A,0)-3)*tbAREAS[[#This Row],[ÁREA EM M²]]</f>
        <v>269.21199999999999</v>
      </c>
      <c r="L1224" s="391"/>
    </row>
    <row r="1225" spans="1:12" hidden="1" x14ac:dyDescent="0.25">
      <c r="A1225" s="228" t="s">
        <v>35</v>
      </c>
      <c r="B1225" s="234" t="s">
        <v>407</v>
      </c>
      <c r="C1225" s="230" t="s">
        <v>433</v>
      </c>
      <c r="D1225" s="230" t="s">
        <v>434</v>
      </c>
      <c r="E1225" s="229" t="s">
        <v>21</v>
      </c>
      <c r="F1225" s="231">
        <v>7</v>
      </c>
      <c r="G1225" s="229" t="s">
        <v>1</v>
      </c>
      <c r="H1225" s="405">
        <f ca="1">INDEX(PRODUTIVIDADES!$M:$M,MATCH(tbAREAS[[#This Row],[TIPO DE ÁREA]],PRODUTIVIDADES!$B:$B,0)+MATCH(tbAREAS[[#This Row],[LOCALIDADE]],PRODUTIVIDADES!$A:$A,0)-3)*tbAREAS[[#This Row],[ÁREA EM M²]]</f>
        <v>1.1900000000000002</v>
      </c>
      <c r="L1225" s="391"/>
    </row>
    <row r="1226" spans="1:12" hidden="1" x14ac:dyDescent="0.25">
      <c r="A1226" s="228" t="s">
        <v>35</v>
      </c>
      <c r="B1226" s="234" t="s">
        <v>407</v>
      </c>
      <c r="C1226" s="230" t="s">
        <v>433</v>
      </c>
      <c r="D1226" s="230" t="s">
        <v>434</v>
      </c>
      <c r="E1226" s="229" t="s">
        <v>22</v>
      </c>
      <c r="F1226" s="231">
        <v>7</v>
      </c>
      <c r="G1226" s="229" t="s">
        <v>1</v>
      </c>
      <c r="H1226" s="405">
        <f ca="1">INDEX(PRODUTIVIDADES!$M:$M,MATCH(tbAREAS[[#This Row],[TIPO DE ÁREA]],PRODUTIVIDADES!$B:$B,0)+MATCH(tbAREAS[[#This Row],[LOCALIDADE]],PRODUTIVIDADES!$A:$A,0)-3)*tbAREAS[[#This Row],[ÁREA EM M²]]</f>
        <v>2.8000000000000003</v>
      </c>
      <c r="L1226" s="391"/>
    </row>
    <row r="1227" spans="1:12" hidden="1" x14ac:dyDescent="0.25">
      <c r="A1227" s="228" t="s">
        <v>35</v>
      </c>
      <c r="B1227" s="234" t="s">
        <v>407</v>
      </c>
      <c r="C1227" s="230" t="s">
        <v>435</v>
      </c>
      <c r="D1227" s="230" t="s">
        <v>436</v>
      </c>
      <c r="E1227" s="229" t="s">
        <v>16</v>
      </c>
      <c r="F1227" s="231">
        <v>350</v>
      </c>
      <c r="G1227" s="229" t="s">
        <v>1</v>
      </c>
      <c r="H1227" s="405">
        <f ca="1">INDEX(PRODUTIVIDADES!$M:$M,MATCH(tbAREAS[[#This Row],[TIPO DE ÁREA]],PRODUTIVIDADES!$B:$B,0)+MATCH(tbAREAS[[#This Row],[LOCALIDADE]],PRODUTIVIDADES!$A:$A,0)-3)*tbAREAS[[#This Row],[ÁREA EM M²]]</f>
        <v>234.5</v>
      </c>
      <c r="L1227" s="391"/>
    </row>
    <row r="1228" spans="1:12" hidden="1" x14ac:dyDescent="0.25">
      <c r="A1228" s="228" t="s">
        <v>35</v>
      </c>
      <c r="B1228" s="234" t="s">
        <v>407</v>
      </c>
      <c r="C1228" s="230" t="s">
        <v>435</v>
      </c>
      <c r="D1228" s="230" t="s">
        <v>436</v>
      </c>
      <c r="E1228" s="229" t="s">
        <v>18</v>
      </c>
      <c r="F1228" s="231">
        <v>4.5</v>
      </c>
      <c r="G1228" s="229" t="s">
        <v>1</v>
      </c>
      <c r="H1228" s="405">
        <f ca="1">INDEX(PRODUTIVIDADES!$M:$M,MATCH(tbAREAS[[#This Row],[TIPO DE ÁREA]],PRODUTIVIDADES!$B:$B,0)+MATCH(tbAREAS[[#This Row],[LOCALIDADE]],PRODUTIVIDADES!$A:$A,0)-3)*tbAREAS[[#This Row],[ÁREA EM M²]]</f>
        <v>178.15500000000003</v>
      </c>
      <c r="L1228" s="391"/>
    </row>
    <row r="1229" spans="1:12" hidden="1" x14ac:dyDescent="0.25">
      <c r="A1229" s="228" t="s">
        <v>35</v>
      </c>
      <c r="B1229" s="234" t="s">
        <v>407</v>
      </c>
      <c r="C1229" s="230" t="s">
        <v>435</v>
      </c>
      <c r="D1229" s="230" t="s">
        <v>436</v>
      </c>
      <c r="E1229" s="229" t="s">
        <v>21</v>
      </c>
      <c r="F1229" s="231">
        <v>35.6</v>
      </c>
      <c r="G1229" s="229" t="s">
        <v>1</v>
      </c>
      <c r="H1229" s="405">
        <f ca="1">INDEX(PRODUTIVIDADES!$M:$M,MATCH(tbAREAS[[#This Row],[TIPO DE ÁREA]],PRODUTIVIDADES!$B:$B,0)+MATCH(tbAREAS[[#This Row],[LOCALIDADE]],PRODUTIVIDADES!$A:$A,0)-3)*tbAREAS[[#This Row],[ÁREA EM M²]]</f>
        <v>6.0520000000000005</v>
      </c>
      <c r="L1229" s="391"/>
    </row>
    <row r="1230" spans="1:12" hidden="1" x14ac:dyDescent="0.25">
      <c r="A1230" s="228" t="s">
        <v>35</v>
      </c>
      <c r="B1230" s="234" t="s">
        <v>407</v>
      </c>
      <c r="C1230" s="230" t="s">
        <v>435</v>
      </c>
      <c r="D1230" s="230" t="s">
        <v>436</v>
      </c>
      <c r="E1230" s="229" t="s">
        <v>22</v>
      </c>
      <c r="F1230" s="231">
        <v>35.6</v>
      </c>
      <c r="G1230" s="229" t="s">
        <v>1</v>
      </c>
      <c r="H1230" s="405">
        <f ca="1">INDEX(PRODUTIVIDADES!$M:$M,MATCH(tbAREAS[[#This Row],[TIPO DE ÁREA]],PRODUTIVIDADES!$B:$B,0)+MATCH(tbAREAS[[#This Row],[LOCALIDADE]],PRODUTIVIDADES!$A:$A,0)-3)*tbAREAS[[#This Row],[ÁREA EM M²]]</f>
        <v>14.240000000000002</v>
      </c>
      <c r="L1230" s="391"/>
    </row>
    <row r="1231" spans="1:12" hidden="1" x14ac:dyDescent="0.25">
      <c r="A1231" s="228" t="s">
        <v>35</v>
      </c>
      <c r="B1231" s="234" t="s">
        <v>407</v>
      </c>
      <c r="C1231" s="230" t="s">
        <v>437</v>
      </c>
      <c r="D1231" s="230" t="s">
        <v>438</v>
      </c>
      <c r="E1231" s="229" t="s">
        <v>10</v>
      </c>
      <c r="F1231" s="231">
        <v>18.399999999999999</v>
      </c>
      <c r="G1231" s="229" t="s">
        <v>1</v>
      </c>
      <c r="H1231" s="405">
        <f ca="1">INDEX(PRODUTIVIDADES!$M:$M,MATCH(tbAREAS[[#This Row],[TIPO DE ÁREA]],PRODUTIVIDADES!$B:$B,0)+MATCH(tbAREAS[[#This Row],[LOCALIDADE]],PRODUTIVIDADES!$A:$A,0)-3)*tbAREAS[[#This Row],[ÁREA EM M²]]</f>
        <v>49.863999999999997</v>
      </c>
      <c r="L1231" s="391"/>
    </row>
    <row r="1232" spans="1:12" hidden="1" x14ac:dyDescent="0.25">
      <c r="A1232" s="228" t="s">
        <v>35</v>
      </c>
      <c r="B1232" s="234" t="s">
        <v>407</v>
      </c>
      <c r="C1232" s="230" t="s">
        <v>437</v>
      </c>
      <c r="D1232" s="230" t="s">
        <v>438</v>
      </c>
      <c r="E1232" s="229" t="s">
        <v>14</v>
      </c>
      <c r="F1232" s="231">
        <v>58.74</v>
      </c>
      <c r="G1232" s="229" t="s">
        <v>1</v>
      </c>
      <c r="H1232" s="405">
        <f ca="1">INDEX(PRODUTIVIDADES!$M:$M,MATCH(tbAREAS[[#This Row],[TIPO DE ÁREA]],PRODUTIVIDADES!$B:$B,0)+MATCH(tbAREAS[[#This Row],[LOCALIDADE]],PRODUTIVIDADES!$A:$A,0)-3)*tbAREAS[[#This Row],[ÁREA EM M²]]</f>
        <v>434.08859999999999</v>
      </c>
      <c r="L1232" s="391"/>
    </row>
    <row r="1233" spans="1:12" hidden="1" x14ac:dyDescent="0.25">
      <c r="A1233" s="228" t="s">
        <v>35</v>
      </c>
      <c r="B1233" s="234" t="s">
        <v>407</v>
      </c>
      <c r="C1233" s="230" t="s">
        <v>437</v>
      </c>
      <c r="D1233" s="230" t="s">
        <v>438</v>
      </c>
      <c r="E1233" s="229" t="s">
        <v>15</v>
      </c>
      <c r="F1233" s="231">
        <v>201.22</v>
      </c>
      <c r="G1233" s="229" t="s">
        <v>1</v>
      </c>
      <c r="H1233" s="405">
        <f ca="1">INDEX(PRODUTIVIDADES!$M:$M,MATCH(tbAREAS[[#This Row],[TIPO DE ÁREA]],PRODUTIVIDADES!$B:$B,0)+MATCH(tbAREAS[[#This Row],[LOCALIDADE]],PRODUTIVIDADES!$A:$A,0)-3)*tbAREAS[[#This Row],[ÁREA EM M²]]</f>
        <v>120.732</v>
      </c>
      <c r="L1233" s="391"/>
    </row>
    <row r="1234" spans="1:12" hidden="1" x14ac:dyDescent="0.25">
      <c r="A1234" s="228" t="s">
        <v>35</v>
      </c>
      <c r="B1234" s="234" t="s">
        <v>407</v>
      </c>
      <c r="C1234" s="230" t="s">
        <v>437</v>
      </c>
      <c r="D1234" s="230" t="s">
        <v>438</v>
      </c>
      <c r="E1234" s="229" t="s">
        <v>18</v>
      </c>
      <c r="F1234" s="231">
        <v>3.35</v>
      </c>
      <c r="G1234" s="229" t="s">
        <v>1</v>
      </c>
      <c r="H1234" s="405">
        <f ca="1">INDEX(PRODUTIVIDADES!$M:$M,MATCH(tbAREAS[[#This Row],[TIPO DE ÁREA]],PRODUTIVIDADES!$B:$B,0)+MATCH(tbAREAS[[#This Row],[LOCALIDADE]],PRODUTIVIDADES!$A:$A,0)-3)*tbAREAS[[#This Row],[ÁREA EM M²]]</f>
        <v>132.62650000000002</v>
      </c>
      <c r="L1234" s="391"/>
    </row>
    <row r="1235" spans="1:12" hidden="1" x14ac:dyDescent="0.25">
      <c r="A1235" s="228" t="s">
        <v>35</v>
      </c>
      <c r="B1235" s="234" t="s">
        <v>407</v>
      </c>
      <c r="C1235" s="230" t="s">
        <v>437</v>
      </c>
      <c r="D1235" s="230" t="s">
        <v>438</v>
      </c>
      <c r="E1235" s="229" t="s">
        <v>21</v>
      </c>
      <c r="F1235" s="231">
        <v>9.4</v>
      </c>
      <c r="G1235" s="229" t="s">
        <v>1</v>
      </c>
      <c r="H1235" s="405">
        <f ca="1">INDEX(PRODUTIVIDADES!$M:$M,MATCH(tbAREAS[[#This Row],[TIPO DE ÁREA]],PRODUTIVIDADES!$B:$B,0)+MATCH(tbAREAS[[#This Row],[LOCALIDADE]],PRODUTIVIDADES!$A:$A,0)-3)*tbAREAS[[#This Row],[ÁREA EM M²]]</f>
        <v>1.5980000000000001</v>
      </c>
      <c r="L1235" s="391"/>
    </row>
    <row r="1236" spans="1:12" hidden="1" x14ac:dyDescent="0.25">
      <c r="A1236" s="228" t="s">
        <v>35</v>
      </c>
      <c r="B1236" s="234" t="s">
        <v>407</v>
      </c>
      <c r="C1236" s="230" t="s">
        <v>437</v>
      </c>
      <c r="D1236" s="230" t="s">
        <v>438</v>
      </c>
      <c r="E1236" s="229" t="s">
        <v>22</v>
      </c>
      <c r="F1236" s="231">
        <v>9.4</v>
      </c>
      <c r="G1236" s="229" t="s">
        <v>1</v>
      </c>
      <c r="H1236" s="405">
        <f ca="1">INDEX(PRODUTIVIDADES!$M:$M,MATCH(tbAREAS[[#This Row],[TIPO DE ÁREA]],PRODUTIVIDADES!$B:$B,0)+MATCH(tbAREAS[[#This Row],[LOCALIDADE]],PRODUTIVIDADES!$A:$A,0)-3)*tbAREAS[[#This Row],[ÁREA EM M²]]</f>
        <v>3.7600000000000002</v>
      </c>
      <c r="L1236" s="391"/>
    </row>
    <row r="1237" spans="1:12" hidden="1" x14ac:dyDescent="0.25">
      <c r="A1237" s="228" t="s">
        <v>35</v>
      </c>
      <c r="B1237" s="234" t="s">
        <v>407</v>
      </c>
      <c r="C1237" s="230" t="s">
        <v>439</v>
      </c>
      <c r="D1237" s="230" t="s">
        <v>440</v>
      </c>
      <c r="E1237" s="229" t="s">
        <v>10</v>
      </c>
      <c r="F1237" s="231">
        <v>9.24</v>
      </c>
      <c r="G1237" s="229" t="s">
        <v>1</v>
      </c>
      <c r="H1237" s="405">
        <f ca="1">INDEX(PRODUTIVIDADES!$M:$M,MATCH(tbAREAS[[#This Row],[TIPO DE ÁREA]],PRODUTIVIDADES!$B:$B,0)+MATCH(tbAREAS[[#This Row],[LOCALIDADE]],PRODUTIVIDADES!$A:$A,0)-3)*tbAREAS[[#This Row],[ÁREA EM M²]]</f>
        <v>25.040400000000002</v>
      </c>
      <c r="L1237" s="391"/>
    </row>
    <row r="1238" spans="1:12" hidden="1" x14ac:dyDescent="0.25">
      <c r="A1238" s="228" t="s">
        <v>35</v>
      </c>
      <c r="B1238" s="234" t="s">
        <v>407</v>
      </c>
      <c r="C1238" s="230" t="s">
        <v>439</v>
      </c>
      <c r="D1238" s="230" t="s">
        <v>440</v>
      </c>
      <c r="E1238" s="229" t="s">
        <v>18</v>
      </c>
      <c r="F1238" s="231">
        <v>2.13</v>
      </c>
      <c r="G1238" s="229" t="s">
        <v>1</v>
      </c>
      <c r="H1238" s="405">
        <f ca="1">INDEX(PRODUTIVIDADES!$M:$M,MATCH(tbAREAS[[#This Row],[TIPO DE ÁREA]],PRODUTIVIDADES!$B:$B,0)+MATCH(tbAREAS[[#This Row],[LOCALIDADE]],PRODUTIVIDADES!$A:$A,0)-3)*tbAREAS[[#This Row],[ÁREA EM M²]]</f>
        <v>84.326700000000002</v>
      </c>
      <c r="L1238" s="391"/>
    </row>
    <row r="1239" spans="1:12" hidden="1" x14ac:dyDescent="0.25">
      <c r="A1239" s="228" t="s">
        <v>35</v>
      </c>
      <c r="B1239" s="234" t="s">
        <v>407</v>
      </c>
      <c r="C1239" s="230" t="s">
        <v>439</v>
      </c>
      <c r="D1239" s="230" t="s">
        <v>440</v>
      </c>
      <c r="E1239" s="229" t="s">
        <v>21</v>
      </c>
      <c r="F1239" s="231">
        <v>9.76</v>
      </c>
      <c r="G1239" s="229" t="s">
        <v>1</v>
      </c>
      <c r="H1239" s="405">
        <f ca="1">INDEX(PRODUTIVIDADES!$M:$M,MATCH(tbAREAS[[#This Row],[TIPO DE ÁREA]],PRODUTIVIDADES!$B:$B,0)+MATCH(tbAREAS[[#This Row],[LOCALIDADE]],PRODUTIVIDADES!$A:$A,0)-3)*tbAREAS[[#This Row],[ÁREA EM M²]]</f>
        <v>1.6592</v>
      </c>
      <c r="L1239" s="391"/>
    </row>
    <row r="1240" spans="1:12" hidden="1" x14ac:dyDescent="0.25">
      <c r="A1240" s="228" t="s">
        <v>35</v>
      </c>
      <c r="B1240" s="234" t="s">
        <v>407</v>
      </c>
      <c r="C1240" s="230" t="s">
        <v>439</v>
      </c>
      <c r="D1240" s="230" t="s">
        <v>440</v>
      </c>
      <c r="E1240" s="229" t="s">
        <v>22</v>
      </c>
      <c r="F1240" s="231">
        <v>9.76</v>
      </c>
      <c r="G1240" s="229" t="s">
        <v>1</v>
      </c>
      <c r="H1240" s="405">
        <f ca="1">INDEX(PRODUTIVIDADES!$M:$M,MATCH(tbAREAS[[#This Row],[TIPO DE ÁREA]],PRODUTIVIDADES!$B:$B,0)+MATCH(tbAREAS[[#This Row],[LOCALIDADE]],PRODUTIVIDADES!$A:$A,0)-3)*tbAREAS[[#This Row],[ÁREA EM M²]]</f>
        <v>3.9039999999999999</v>
      </c>
      <c r="L1240" s="391"/>
    </row>
    <row r="1241" spans="1:12" hidden="1" x14ac:dyDescent="0.25">
      <c r="A1241" s="228" t="s">
        <v>36</v>
      </c>
      <c r="B1241" s="234" t="s">
        <v>441</v>
      </c>
      <c r="C1241" s="230" t="s">
        <v>442</v>
      </c>
      <c r="D1241" s="230" t="s">
        <v>443</v>
      </c>
      <c r="E1241" s="229" t="s">
        <v>9</v>
      </c>
      <c r="F1241" s="231">
        <v>1190.19</v>
      </c>
      <c r="G1241" s="229" t="s">
        <v>1</v>
      </c>
      <c r="H1241" s="405">
        <f ca="1">INDEX(PRODUTIVIDADES!$M:$M,MATCH(tbAREAS[[#This Row],[TIPO DE ÁREA]],PRODUTIVIDADES!$B:$B,0)+MATCH(tbAREAS[[#This Row],[LOCALIDADE]],PRODUTIVIDADES!$A:$A,0)-3)*tbAREAS[[#This Row],[ÁREA EM M²]]</f>
        <v>8997.8364000000001</v>
      </c>
      <c r="L1241" s="391"/>
    </row>
    <row r="1242" spans="1:12" hidden="1" x14ac:dyDescent="0.25">
      <c r="A1242" s="228" t="s">
        <v>36</v>
      </c>
      <c r="B1242" s="234" t="s">
        <v>441</v>
      </c>
      <c r="C1242" s="230" t="s">
        <v>442</v>
      </c>
      <c r="D1242" s="230" t="s">
        <v>443</v>
      </c>
      <c r="E1242" s="229" t="s">
        <v>10</v>
      </c>
      <c r="F1242" s="231">
        <v>831.1</v>
      </c>
      <c r="G1242" s="229" t="s">
        <v>1</v>
      </c>
      <c r="H1242" s="405">
        <f ca="1">INDEX(PRODUTIVIDADES!$M:$M,MATCH(tbAREAS[[#This Row],[TIPO DE ÁREA]],PRODUTIVIDADES!$B:$B,0)+MATCH(tbAREAS[[#This Row],[LOCALIDADE]],PRODUTIVIDADES!$A:$A,0)-3)*tbAREAS[[#This Row],[ÁREA EM M²]]</f>
        <v>2285.5250000000001</v>
      </c>
      <c r="L1242" s="391"/>
    </row>
    <row r="1243" spans="1:12" hidden="1" x14ac:dyDescent="0.25">
      <c r="A1243" s="228" t="s">
        <v>36</v>
      </c>
      <c r="B1243" s="234" t="s">
        <v>441</v>
      </c>
      <c r="C1243" s="230" t="s">
        <v>442</v>
      </c>
      <c r="D1243" s="230" t="s">
        <v>443</v>
      </c>
      <c r="E1243" s="229" t="s">
        <v>14</v>
      </c>
      <c r="F1243" s="231">
        <v>190.08</v>
      </c>
      <c r="G1243" s="229" t="s">
        <v>1</v>
      </c>
      <c r="H1243" s="405">
        <f ca="1">INDEX(PRODUTIVIDADES!$M:$M,MATCH(tbAREAS[[#This Row],[TIPO DE ÁREA]],PRODUTIVIDADES!$B:$B,0)+MATCH(tbAREAS[[#This Row],[LOCALIDADE]],PRODUTIVIDADES!$A:$A,0)-3)*tbAREAS[[#This Row],[ÁREA EM M²]]</f>
        <v>1425.6000000000001</v>
      </c>
      <c r="L1243" s="391"/>
    </row>
    <row r="1244" spans="1:12" hidden="1" x14ac:dyDescent="0.25">
      <c r="A1244" s="228" t="s">
        <v>36</v>
      </c>
      <c r="B1244" s="234" t="s">
        <v>441</v>
      </c>
      <c r="C1244" s="230" t="s">
        <v>442</v>
      </c>
      <c r="D1244" s="230" t="s">
        <v>443</v>
      </c>
      <c r="E1244" s="229" t="s">
        <v>15</v>
      </c>
      <c r="F1244" s="231">
        <v>6.6</v>
      </c>
      <c r="G1244" s="229" t="s">
        <v>1</v>
      </c>
      <c r="H1244" s="405">
        <f ca="1">INDEX(PRODUTIVIDADES!$M:$M,MATCH(tbAREAS[[#This Row],[TIPO DE ÁREA]],PRODUTIVIDADES!$B:$B,0)+MATCH(tbAREAS[[#This Row],[LOCALIDADE]],PRODUTIVIDADES!$A:$A,0)-3)*tbAREAS[[#This Row],[ÁREA EM M²]]</f>
        <v>4.0259999999999998</v>
      </c>
      <c r="L1244" s="391"/>
    </row>
    <row r="1245" spans="1:12" hidden="1" x14ac:dyDescent="0.25">
      <c r="A1245" s="228" t="s">
        <v>36</v>
      </c>
      <c r="B1245" s="234" t="s">
        <v>441</v>
      </c>
      <c r="C1245" s="230" t="s">
        <v>442</v>
      </c>
      <c r="D1245" s="230" t="s">
        <v>443</v>
      </c>
      <c r="E1245" s="229" t="s">
        <v>17</v>
      </c>
      <c r="F1245" s="231">
        <v>807.65</v>
      </c>
      <c r="G1245" s="229" t="s">
        <v>1</v>
      </c>
      <c r="H1245" s="405">
        <f ca="1">INDEX(PRODUTIVIDADES!$M:$M,MATCH(tbAREAS[[#This Row],[TIPO DE ÁREA]],PRODUTIVIDADES!$B:$B,0)+MATCH(tbAREAS[[#This Row],[LOCALIDADE]],PRODUTIVIDADES!$A:$A,0)-3)*tbAREAS[[#This Row],[ÁREA EM M²]]</f>
        <v>1663.759</v>
      </c>
      <c r="L1245" s="391"/>
    </row>
    <row r="1246" spans="1:12" hidden="1" x14ac:dyDescent="0.25">
      <c r="A1246" s="228" t="s">
        <v>36</v>
      </c>
      <c r="B1246" s="234" t="s">
        <v>441</v>
      </c>
      <c r="C1246" s="230" t="s">
        <v>442</v>
      </c>
      <c r="D1246" s="230" t="s">
        <v>443</v>
      </c>
      <c r="E1246" s="229" t="s">
        <v>18</v>
      </c>
      <c r="F1246" s="231">
        <v>91.32</v>
      </c>
      <c r="G1246" s="229" t="s">
        <v>1</v>
      </c>
      <c r="H1246" s="405">
        <f ca="1">INDEX(PRODUTIVIDADES!$M:$M,MATCH(tbAREAS[[#This Row],[TIPO DE ÁREA]],PRODUTIVIDADES!$B:$B,0)+MATCH(tbAREAS[[#This Row],[LOCALIDADE]],PRODUTIVIDADES!$A:$A,0)-3)*tbAREAS[[#This Row],[ÁREA EM M²]]</f>
        <v>3661.0187999999998</v>
      </c>
      <c r="L1246" s="391"/>
    </row>
    <row r="1247" spans="1:12" hidden="1" x14ac:dyDescent="0.25">
      <c r="A1247" s="228" t="s">
        <v>36</v>
      </c>
      <c r="B1247" s="234" t="s">
        <v>441</v>
      </c>
      <c r="C1247" s="230" t="s">
        <v>442</v>
      </c>
      <c r="D1247" s="230" t="s">
        <v>443</v>
      </c>
      <c r="E1247" s="229" t="s">
        <v>20</v>
      </c>
      <c r="F1247" s="231">
        <v>300</v>
      </c>
      <c r="G1247" s="229" t="s">
        <v>1</v>
      </c>
      <c r="H1247" s="405">
        <f ca="1">INDEX(PRODUTIVIDADES!$M:$M,MATCH(tbAREAS[[#This Row],[TIPO DE ÁREA]],PRODUTIVIDADES!$B:$B,0)+MATCH(tbAREAS[[#This Row],[LOCALIDADE]],PRODUTIVIDADES!$A:$A,0)-3)*tbAREAS[[#This Row],[ÁREA EM M²]]</f>
        <v>204.00000000000003</v>
      </c>
      <c r="L1247" s="391"/>
    </row>
    <row r="1248" spans="1:12" hidden="1" x14ac:dyDescent="0.25">
      <c r="A1248" s="228" t="s">
        <v>36</v>
      </c>
      <c r="B1248" s="234" t="s">
        <v>441</v>
      </c>
      <c r="C1248" s="230" t="s">
        <v>442</v>
      </c>
      <c r="D1248" s="230" t="s">
        <v>443</v>
      </c>
      <c r="E1248" s="229" t="s">
        <v>21</v>
      </c>
      <c r="F1248" s="231">
        <v>717.96</v>
      </c>
      <c r="G1248" s="229" t="s">
        <v>1</v>
      </c>
      <c r="H1248" s="405">
        <f ca="1">INDEX(PRODUTIVIDADES!$M:$M,MATCH(tbAREAS[[#This Row],[TIPO DE ÁREA]],PRODUTIVIDADES!$B:$B,0)+MATCH(tbAREAS[[#This Row],[LOCALIDADE]],PRODUTIVIDADES!$A:$A,0)-3)*tbAREAS[[#This Row],[ÁREA EM M²]]</f>
        <v>122.05320000000002</v>
      </c>
      <c r="L1248" s="391"/>
    </row>
    <row r="1249" spans="1:12" hidden="1" x14ac:dyDescent="0.25">
      <c r="A1249" s="228" t="s">
        <v>36</v>
      </c>
      <c r="B1249" s="234" t="s">
        <v>441</v>
      </c>
      <c r="C1249" s="230" t="s">
        <v>442</v>
      </c>
      <c r="D1249" s="230" t="s">
        <v>443</v>
      </c>
      <c r="E1249" s="229" t="s">
        <v>22</v>
      </c>
      <c r="F1249" s="231">
        <v>717.96</v>
      </c>
      <c r="G1249" s="229" t="s">
        <v>1</v>
      </c>
      <c r="H1249" s="405">
        <f ca="1">INDEX(PRODUTIVIDADES!$M:$M,MATCH(tbAREAS[[#This Row],[TIPO DE ÁREA]],PRODUTIVIDADES!$B:$B,0)+MATCH(tbAREAS[[#This Row],[LOCALIDADE]],PRODUTIVIDADES!$A:$A,0)-3)*tbAREAS[[#This Row],[ÁREA EM M²]]</f>
        <v>287.18400000000003</v>
      </c>
      <c r="L1249" s="391"/>
    </row>
    <row r="1250" spans="1:12" hidden="1" x14ac:dyDescent="0.25">
      <c r="A1250" s="228" t="s">
        <v>36</v>
      </c>
      <c r="B1250" s="234" t="s">
        <v>441</v>
      </c>
      <c r="C1250" s="230" t="s">
        <v>444</v>
      </c>
      <c r="D1250" s="230" t="s">
        <v>445</v>
      </c>
      <c r="E1250" s="229" t="s">
        <v>9</v>
      </c>
      <c r="F1250" s="231">
        <v>621.64</v>
      </c>
      <c r="G1250" s="229" t="s">
        <v>1</v>
      </c>
      <c r="H1250" s="405">
        <f ca="1">INDEX(PRODUTIVIDADES!$M:$M,MATCH(tbAREAS[[#This Row],[TIPO DE ÁREA]],PRODUTIVIDADES!$B:$B,0)+MATCH(tbAREAS[[#This Row],[LOCALIDADE]],PRODUTIVIDADES!$A:$A,0)-3)*tbAREAS[[#This Row],[ÁREA EM M²]]</f>
        <v>4699.5983999999999</v>
      </c>
      <c r="L1250" s="391"/>
    </row>
    <row r="1251" spans="1:12" hidden="1" x14ac:dyDescent="0.25">
      <c r="A1251" s="228" t="s">
        <v>36</v>
      </c>
      <c r="B1251" s="234" t="s">
        <v>441</v>
      </c>
      <c r="C1251" s="230" t="s">
        <v>444</v>
      </c>
      <c r="D1251" s="230" t="s">
        <v>445</v>
      </c>
      <c r="E1251" s="229" t="s">
        <v>10</v>
      </c>
      <c r="F1251" s="231">
        <v>421.39</v>
      </c>
      <c r="G1251" s="229" t="s">
        <v>1</v>
      </c>
      <c r="H1251" s="405">
        <f ca="1">INDEX(PRODUTIVIDADES!$M:$M,MATCH(tbAREAS[[#This Row],[TIPO DE ÁREA]],PRODUTIVIDADES!$B:$B,0)+MATCH(tbAREAS[[#This Row],[LOCALIDADE]],PRODUTIVIDADES!$A:$A,0)-3)*tbAREAS[[#This Row],[ÁREA EM M²]]</f>
        <v>1158.8225</v>
      </c>
      <c r="L1251" s="391"/>
    </row>
    <row r="1252" spans="1:12" hidden="1" x14ac:dyDescent="0.25">
      <c r="A1252" s="228" t="s">
        <v>36</v>
      </c>
      <c r="B1252" s="234" t="s">
        <v>441</v>
      </c>
      <c r="C1252" s="230" t="s">
        <v>444</v>
      </c>
      <c r="D1252" s="230" t="s">
        <v>445</v>
      </c>
      <c r="E1252" s="229" t="s">
        <v>13</v>
      </c>
      <c r="F1252" s="231">
        <v>24.25</v>
      </c>
      <c r="G1252" s="229" t="s">
        <v>1</v>
      </c>
      <c r="H1252" s="405">
        <f ca="1">INDEX(PRODUTIVIDADES!$M:$M,MATCH(tbAREAS[[#This Row],[TIPO DE ÁREA]],PRODUTIVIDADES!$B:$B,0)+MATCH(tbAREAS[[#This Row],[LOCALIDADE]],PRODUTIVIDADES!$A:$A,0)-3)*tbAREAS[[#This Row],[ÁREA EM M²]]</f>
        <v>66.6875</v>
      </c>
      <c r="L1252" s="391"/>
    </row>
    <row r="1253" spans="1:12" hidden="1" x14ac:dyDescent="0.25">
      <c r="A1253" s="228" t="s">
        <v>36</v>
      </c>
      <c r="B1253" s="234" t="s">
        <v>441</v>
      </c>
      <c r="C1253" s="230" t="s">
        <v>444</v>
      </c>
      <c r="D1253" s="230" t="s">
        <v>445</v>
      </c>
      <c r="E1253" s="229" t="s">
        <v>14</v>
      </c>
      <c r="F1253" s="231">
        <v>750.47</v>
      </c>
      <c r="G1253" s="229" t="s">
        <v>1</v>
      </c>
      <c r="H1253" s="405">
        <f ca="1">INDEX(PRODUTIVIDADES!$M:$M,MATCH(tbAREAS[[#This Row],[TIPO DE ÁREA]],PRODUTIVIDADES!$B:$B,0)+MATCH(tbAREAS[[#This Row],[LOCALIDADE]],PRODUTIVIDADES!$A:$A,0)-3)*tbAREAS[[#This Row],[ÁREA EM M²]]</f>
        <v>5628.5250000000005</v>
      </c>
      <c r="L1253" s="391"/>
    </row>
    <row r="1254" spans="1:12" hidden="1" x14ac:dyDescent="0.25">
      <c r="A1254" s="228" t="s">
        <v>36</v>
      </c>
      <c r="B1254" s="234" t="s">
        <v>441</v>
      </c>
      <c r="C1254" s="230" t="s">
        <v>444</v>
      </c>
      <c r="D1254" s="230" t="s">
        <v>445</v>
      </c>
      <c r="E1254" s="229" t="s">
        <v>15</v>
      </c>
      <c r="F1254" s="231">
        <v>6.6</v>
      </c>
      <c r="G1254" s="229" t="s">
        <v>1</v>
      </c>
      <c r="H1254" s="405">
        <f ca="1">INDEX(PRODUTIVIDADES!$M:$M,MATCH(tbAREAS[[#This Row],[TIPO DE ÁREA]],PRODUTIVIDADES!$B:$B,0)+MATCH(tbAREAS[[#This Row],[LOCALIDADE]],PRODUTIVIDADES!$A:$A,0)-3)*tbAREAS[[#This Row],[ÁREA EM M²]]</f>
        <v>4.0259999999999998</v>
      </c>
      <c r="L1254" s="391"/>
    </row>
    <row r="1255" spans="1:12" hidden="1" x14ac:dyDescent="0.25">
      <c r="A1255" s="228" t="s">
        <v>36</v>
      </c>
      <c r="B1255" s="234" t="s">
        <v>441</v>
      </c>
      <c r="C1255" s="230" t="s">
        <v>444</v>
      </c>
      <c r="D1255" s="230" t="s">
        <v>445</v>
      </c>
      <c r="E1255" s="229" t="s">
        <v>17</v>
      </c>
      <c r="F1255" s="231">
        <v>725.87</v>
      </c>
      <c r="G1255" s="229" t="s">
        <v>1</v>
      </c>
      <c r="H1255" s="405">
        <f ca="1">INDEX(PRODUTIVIDADES!$M:$M,MATCH(tbAREAS[[#This Row],[TIPO DE ÁREA]],PRODUTIVIDADES!$B:$B,0)+MATCH(tbAREAS[[#This Row],[LOCALIDADE]],PRODUTIVIDADES!$A:$A,0)-3)*tbAREAS[[#This Row],[ÁREA EM M²]]</f>
        <v>1495.2922000000001</v>
      </c>
      <c r="L1255" s="391"/>
    </row>
    <row r="1256" spans="1:12" hidden="1" x14ac:dyDescent="0.25">
      <c r="A1256" s="228" t="s">
        <v>36</v>
      </c>
      <c r="B1256" s="234" t="s">
        <v>441</v>
      </c>
      <c r="C1256" s="230" t="s">
        <v>444</v>
      </c>
      <c r="D1256" s="230" t="s">
        <v>445</v>
      </c>
      <c r="E1256" s="229" t="s">
        <v>18</v>
      </c>
      <c r="F1256" s="231">
        <v>89.76</v>
      </c>
      <c r="G1256" s="229" t="s">
        <v>1</v>
      </c>
      <c r="H1256" s="405">
        <f ca="1">INDEX(PRODUTIVIDADES!$M:$M,MATCH(tbAREAS[[#This Row],[TIPO DE ÁREA]],PRODUTIVIDADES!$B:$B,0)+MATCH(tbAREAS[[#This Row],[LOCALIDADE]],PRODUTIVIDADES!$A:$A,0)-3)*tbAREAS[[#This Row],[ÁREA EM M²]]</f>
        <v>3598.4784000000004</v>
      </c>
      <c r="L1256" s="391"/>
    </row>
    <row r="1257" spans="1:12" hidden="1" x14ac:dyDescent="0.25">
      <c r="A1257" s="228" t="s">
        <v>36</v>
      </c>
      <c r="B1257" s="234" t="s">
        <v>441</v>
      </c>
      <c r="C1257" s="230" t="s">
        <v>444</v>
      </c>
      <c r="D1257" s="230" t="s">
        <v>445</v>
      </c>
      <c r="E1257" s="229" t="s">
        <v>20</v>
      </c>
      <c r="F1257" s="231">
        <v>200</v>
      </c>
      <c r="G1257" s="229" t="s">
        <v>1</v>
      </c>
      <c r="H1257" s="405">
        <f ca="1">INDEX(PRODUTIVIDADES!$M:$M,MATCH(tbAREAS[[#This Row],[TIPO DE ÁREA]],PRODUTIVIDADES!$B:$B,0)+MATCH(tbAREAS[[#This Row],[LOCALIDADE]],PRODUTIVIDADES!$A:$A,0)-3)*tbAREAS[[#This Row],[ÁREA EM M²]]</f>
        <v>136</v>
      </c>
      <c r="L1257" s="391"/>
    </row>
    <row r="1258" spans="1:12" hidden="1" x14ac:dyDescent="0.25">
      <c r="A1258" s="228" t="s">
        <v>36</v>
      </c>
      <c r="B1258" s="234" t="s">
        <v>441</v>
      </c>
      <c r="C1258" s="230" t="s">
        <v>444</v>
      </c>
      <c r="D1258" s="230" t="s">
        <v>445</v>
      </c>
      <c r="E1258" s="229" t="s">
        <v>21</v>
      </c>
      <c r="F1258" s="231">
        <v>679.36</v>
      </c>
      <c r="G1258" s="229" t="s">
        <v>1</v>
      </c>
      <c r="H1258" s="405">
        <f ca="1">INDEX(PRODUTIVIDADES!$M:$M,MATCH(tbAREAS[[#This Row],[TIPO DE ÁREA]],PRODUTIVIDADES!$B:$B,0)+MATCH(tbAREAS[[#This Row],[LOCALIDADE]],PRODUTIVIDADES!$A:$A,0)-3)*tbAREAS[[#This Row],[ÁREA EM M²]]</f>
        <v>115.49120000000001</v>
      </c>
      <c r="L1258" s="391"/>
    </row>
    <row r="1259" spans="1:12" hidden="1" x14ac:dyDescent="0.25">
      <c r="A1259" s="228" t="s">
        <v>36</v>
      </c>
      <c r="B1259" s="234" t="s">
        <v>441</v>
      </c>
      <c r="C1259" s="230" t="s">
        <v>444</v>
      </c>
      <c r="D1259" s="230" t="s">
        <v>445</v>
      </c>
      <c r="E1259" s="229" t="s">
        <v>22</v>
      </c>
      <c r="F1259" s="231">
        <v>679.36</v>
      </c>
      <c r="G1259" s="229" t="s">
        <v>1</v>
      </c>
      <c r="H1259" s="405">
        <f ca="1">INDEX(PRODUTIVIDADES!$M:$M,MATCH(tbAREAS[[#This Row],[TIPO DE ÁREA]],PRODUTIVIDADES!$B:$B,0)+MATCH(tbAREAS[[#This Row],[LOCALIDADE]],PRODUTIVIDADES!$A:$A,0)-3)*tbAREAS[[#This Row],[ÁREA EM M²]]</f>
        <v>271.74400000000003</v>
      </c>
      <c r="L1259" s="391"/>
    </row>
    <row r="1260" spans="1:12" hidden="1" x14ac:dyDescent="0.25">
      <c r="A1260" s="228" t="s">
        <v>36</v>
      </c>
      <c r="B1260" s="234" t="s">
        <v>441</v>
      </c>
      <c r="C1260" s="230" t="s">
        <v>446</v>
      </c>
      <c r="D1260" s="230" t="s">
        <v>447</v>
      </c>
      <c r="E1260" s="229" t="s">
        <v>9</v>
      </c>
      <c r="F1260" s="231">
        <v>962.42</v>
      </c>
      <c r="G1260" s="229" t="s">
        <v>1</v>
      </c>
      <c r="H1260" s="405">
        <f ca="1">INDEX(PRODUTIVIDADES!$M:$M,MATCH(tbAREAS[[#This Row],[TIPO DE ÁREA]],PRODUTIVIDADES!$B:$B,0)+MATCH(tbAREAS[[#This Row],[LOCALIDADE]],PRODUTIVIDADES!$A:$A,0)-3)*tbAREAS[[#This Row],[ÁREA EM M²]]</f>
        <v>7275.895199999999</v>
      </c>
      <c r="L1260" s="391"/>
    </row>
    <row r="1261" spans="1:12" hidden="1" x14ac:dyDescent="0.25">
      <c r="A1261" s="228" t="s">
        <v>36</v>
      </c>
      <c r="B1261" s="234" t="s">
        <v>441</v>
      </c>
      <c r="C1261" s="230" t="s">
        <v>446</v>
      </c>
      <c r="D1261" s="230" t="s">
        <v>447</v>
      </c>
      <c r="E1261" s="229" t="s">
        <v>15</v>
      </c>
      <c r="F1261" s="231">
        <v>8.1</v>
      </c>
      <c r="G1261" s="229" t="s">
        <v>1</v>
      </c>
      <c r="H1261" s="405">
        <f ca="1">INDEX(PRODUTIVIDADES!$M:$M,MATCH(tbAREAS[[#This Row],[TIPO DE ÁREA]],PRODUTIVIDADES!$B:$B,0)+MATCH(tbAREAS[[#This Row],[LOCALIDADE]],PRODUTIVIDADES!$A:$A,0)-3)*tbAREAS[[#This Row],[ÁREA EM M²]]</f>
        <v>4.9409999999999998</v>
      </c>
      <c r="L1261" s="391"/>
    </row>
    <row r="1262" spans="1:12" hidden="1" x14ac:dyDescent="0.25">
      <c r="A1262" s="228" t="s">
        <v>36</v>
      </c>
      <c r="B1262" s="234" t="s">
        <v>441</v>
      </c>
      <c r="C1262" s="230" t="s">
        <v>446</v>
      </c>
      <c r="D1262" s="230" t="s">
        <v>447</v>
      </c>
      <c r="E1262" s="229" t="s">
        <v>17</v>
      </c>
      <c r="F1262" s="231">
        <v>510.57</v>
      </c>
      <c r="G1262" s="229" t="s">
        <v>1</v>
      </c>
      <c r="H1262" s="405">
        <f ca="1">INDEX(PRODUTIVIDADES!$M:$M,MATCH(tbAREAS[[#This Row],[TIPO DE ÁREA]],PRODUTIVIDADES!$B:$B,0)+MATCH(tbAREAS[[#This Row],[LOCALIDADE]],PRODUTIVIDADES!$A:$A,0)-3)*tbAREAS[[#This Row],[ÁREA EM M²]]</f>
        <v>1051.7742000000001</v>
      </c>
      <c r="L1262" s="391"/>
    </row>
    <row r="1263" spans="1:12" hidden="1" x14ac:dyDescent="0.25">
      <c r="A1263" s="228" t="s">
        <v>36</v>
      </c>
      <c r="B1263" s="234" t="s">
        <v>441</v>
      </c>
      <c r="C1263" s="230" t="s">
        <v>446</v>
      </c>
      <c r="D1263" s="230" t="s">
        <v>447</v>
      </c>
      <c r="E1263" s="229" t="s">
        <v>18</v>
      </c>
      <c r="F1263" s="231">
        <v>100.2</v>
      </c>
      <c r="G1263" s="229" t="s">
        <v>1</v>
      </c>
      <c r="H1263" s="405">
        <f ca="1">INDEX(PRODUTIVIDADES!$M:$M,MATCH(tbAREAS[[#This Row],[TIPO DE ÁREA]],PRODUTIVIDADES!$B:$B,0)+MATCH(tbAREAS[[#This Row],[LOCALIDADE]],PRODUTIVIDADES!$A:$A,0)-3)*tbAREAS[[#This Row],[ÁREA EM M²]]</f>
        <v>4017.0180000000005</v>
      </c>
      <c r="L1263" s="391"/>
    </row>
    <row r="1264" spans="1:12" hidden="1" x14ac:dyDescent="0.25">
      <c r="A1264" s="228" t="s">
        <v>36</v>
      </c>
      <c r="B1264" s="234" t="s">
        <v>441</v>
      </c>
      <c r="C1264" s="230" t="s">
        <v>446</v>
      </c>
      <c r="D1264" s="230" t="s">
        <v>447</v>
      </c>
      <c r="E1264" s="229" t="s">
        <v>20</v>
      </c>
      <c r="F1264" s="231">
        <v>100</v>
      </c>
      <c r="G1264" s="229" t="s">
        <v>1</v>
      </c>
      <c r="H1264" s="405">
        <f ca="1">INDEX(PRODUTIVIDADES!$M:$M,MATCH(tbAREAS[[#This Row],[TIPO DE ÁREA]],PRODUTIVIDADES!$B:$B,0)+MATCH(tbAREAS[[#This Row],[LOCALIDADE]],PRODUTIVIDADES!$A:$A,0)-3)*tbAREAS[[#This Row],[ÁREA EM M²]]</f>
        <v>68</v>
      </c>
      <c r="L1264" s="391"/>
    </row>
    <row r="1265" spans="1:12" hidden="1" x14ac:dyDescent="0.25">
      <c r="A1265" s="228" t="s">
        <v>36</v>
      </c>
      <c r="B1265" s="234" t="s">
        <v>441</v>
      </c>
      <c r="C1265" s="230" t="s">
        <v>446</v>
      </c>
      <c r="D1265" s="230" t="s">
        <v>447</v>
      </c>
      <c r="E1265" s="229" t="s">
        <v>21</v>
      </c>
      <c r="F1265" s="231">
        <v>341.54</v>
      </c>
      <c r="G1265" s="229" t="s">
        <v>1</v>
      </c>
      <c r="H1265" s="405">
        <f ca="1">INDEX(PRODUTIVIDADES!$M:$M,MATCH(tbAREAS[[#This Row],[TIPO DE ÁREA]],PRODUTIVIDADES!$B:$B,0)+MATCH(tbAREAS[[#This Row],[LOCALIDADE]],PRODUTIVIDADES!$A:$A,0)-3)*tbAREAS[[#This Row],[ÁREA EM M²]]</f>
        <v>58.061800000000005</v>
      </c>
      <c r="L1265" s="391"/>
    </row>
    <row r="1266" spans="1:12" hidden="1" x14ac:dyDescent="0.25">
      <c r="A1266" s="228" t="s">
        <v>36</v>
      </c>
      <c r="B1266" s="234" t="s">
        <v>441</v>
      </c>
      <c r="C1266" s="230" t="s">
        <v>446</v>
      </c>
      <c r="D1266" s="230" t="s">
        <v>447</v>
      </c>
      <c r="E1266" s="229" t="s">
        <v>22</v>
      </c>
      <c r="F1266" s="231">
        <v>341.54</v>
      </c>
      <c r="G1266" s="229" t="s">
        <v>1</v>
      </c>
      <c r="H1266" s="405">
        <f ca="1">INDEX(PRODUTIVIDADES!$M:$M,MATCH(tbAREAS[[#This Row],[TIPO DE ÁREA]],PRODUTIVIDADES!$B:$B,0)+MATCH(tbAREAS[[#This Row],[LOCALIDADE]],PRODUTIVIDADES!$A:$A,0)-3)*tbAREAS[[#This Row],[ÁREA EM M²]]</f>
        <v>136.61600000000001</v>
      </c>
      <c r="L1266" s="391"/>
    </row>
    <row r="1267" spans="1:12" hidden="1" x14ac:dyDescent="0.25">
      <c r="A1267" s="228" t="s">
        <v>36</v>
      </c>
      <c r="B1267" s="234" t="s">
        <v>441</v>
      </c>
      <c r="C1267" s="230" t="s">
        <v>448</v>
      </c>
      <c r="D1267" s="230" t="s">
        <v>449</v>
      </c>
      <c r="E1267" s="229" t="s">
        <v>14</v>
      </c>
      <c r="F1267" s="231">
        <v>868.69</v>
      </c>
      <c r="G1267" s="229" t="s">
        <v>1</v>
      </c>
      <c r="H1267" s="405">
        <f ca="1">INDEX(PRODUTIVIDADES!$M:$M,MATCH(tbAREAS[[#This Row],[TIPO DE ÁREA]],PRODUTIVIDADES!$B:$B,0)+MATCH(tbAREAS[[#This Row],[LOCALIDADE]],PRODUTIVIDADES!$A:$A,0)-3)*tbAREAS[[#This Row],[ÁREA EM M²]]</f>
        <v>6515.1750000000002</v>
      </c>
      <c r="L1267" s="391"/>
    </row>
    <row r="1268" spans="1:12" hidden="1" x14ac:dyDescent="0.25">
      <c r="A1268" s="228" t="s">
        <v>36</v>
      </c>
      <c r="B1268" s="234" t="s">
        <v>441</v>
      </c>
      <c r="C1268" s="230" t="s">
        <v>448</v>
      </c>
      <c r="D1268" s="230" t="s">
        <v>449</v>
      </c>
      <c r="E1268" s="229" t="s">
        <v>17</v>
      </c>
      <c r="F1268" s="231">
        <v>140.80000000000001</v>
      </c>
      <c r="G1268" s="229" t="s">
        <v>1</v>
      </c>
      <c r="H1268" s="405">
        <f ca="1">INDEX(PRODUTIVIDADES!$M:$M,MATCH(tbAREAS[[#This Row],[TIPO DE ÁREA]],PRODUTIVIDADES!$B:$B,0)+MATCH(tbAREAS[[#This Row],[LOCALIDADE]],PRODUTIVIDADES!$A:$A,0)-3)*tbAREAS[[#This Row],[ÁREA EM M²]]</f>
        <v>290.04800000000006</v>
      </c>
      <c r="L1268" s="391"/>
    </row>
    <row r="1269" spans="1:12" hidden="1" x14ac:dyDescent="0.25">
      <c r="A1269" s="228" t="s">
        <v>36</v>
      </c>
      <c r="B1269" s="234" t="s">
        <v>441</v>
      </c>
      <c r="C1269" s="230" t="s">
        <v>448</v>
      </c>
      <c r="D1269" s="230" t="s">
        <v>449</v>
      </c>
      <c r="E1269" s="229" t="s">
        <v>18</v>
      </c>
      <c r="F1269" s="231">
        <v>26.5</v>
      </c>
      <c r="G1269" s="229" t="s">
        <v>1</v>
      </c>
      <c r="H1269" s="405">
        <f ca="1">INDEX(PRODUTIVIDADES!$M:$M,MATCH(tbAREAS[[#This Row],[TIPO DE ÁREA]],PRODUTIVIDADES!$B:$B,0)+MATCH(tbAREAS[[#This Row],[LOCALIDADE]],PRODUTIVIDADES!$A:$A,0)-3)*tbAREAS[[#This Row],[ÁREA EM M²]]</f>
        <v>1062.385</v>
      </c>
      <c r="L1269" s="391"/>
    </row>
    <row r="1270" spans="1:12" hidden="1" x14ac:dyDescent="0.25">
      <c r="A1270" s="228" t="s">
        <v>36</v>
      </c>
      <c r="B1270" s="234" t="s">
        <v>441</v>
      </c>
      <c r="C1270" s="230" t="s">
        <v>448</v>
      </c>
      <c r="D1270" s="230" t="s">
        <v>449</v>
      </c>
      <c r="E1270" s="229" t="s">
        <v>20</v>
      </c>
      <c r="F1270" s="231">
        <v>50</v>
      </c>
      <c r="G1270" s="229" t="s">
        <v>1</v>
      </c>
      <c r="H1270" s="405">
        <f ca="1">INDEX(PRODUTIVIDADES!$M:$M,MATCH(tbAREAS[[#This Row],[TIPO DE ÁREA]],PRODUTIVIDADES!$B:$B,0)+MATCH(tbAREAS[[#This Row],[LOCALIDADE]],PRODUTIVIDADES!$A:$A,0)-3)*tbAREAS[[#This Row],[ÁREA EM M²]]</f>
        <v>34</v>
      </c>
      <c r="L1270" s="391"/>
    </row>
    <row r="1271" spans="1:12" hidden="1" x14ac:dyDescent="0.25">
      <c r="A1271" s="228" t="s">
        <v>36</v>
      </c>
      <c r="B1271" s="234" t="s">
        <v>441</v>
      </c>
      <c r="C1271" s="230" t="s">
        <v>448</v>
      </c>
      <c r="D1271" s="230" t="s">
        <v>449</v>
      </c>
      <c r="E1271" s="229" t="s">
        <v>21</v>
      </c>
      <c r="F1271" s="231">
        <v>135.62</v>
      </c>
      <c r="G1271" s="229" t="s">
        <v>1</v>
      </c>
      <c r="H1271" s="405">
        <f ca="1">INDEX(PRODUTIVIDADES!$M:$M,MATCH(tbAREAS[[#This Row],[TIPO DE ÁREA]],PRODUTIVIDADES!$B:$B,0)+MATCH(tbAREAS[[#This Row],[LOCALIDADE]],PRODUTIVIDADES!$A:$A,0)-3)*tbAREAS[[#This Row],[ÁREA EM M²]]</f>
        <v>23.055400000000002</v>
      </c>
      <c r="L1271" s="391"/>
    </row>
    <row r="1272" spans="1:12" hidden="1" x14ac:dyDescent="0.25">
      <c r="A1272" s="228" t="s">
        <v>36</v>
      </c>
      <c r="B1272" s="234" t="s">
        <v>441</v>
      </c>
      <c r="C1272" s="230" t="s">
        <v>448</v>
      </c>
      <c r="D1272" s="230" t="s">
        <v>449</v>
      </c>
      <c r="E1272" s="229" t="s">
        <v>22</v>
      </c>
      <c r="F1272" s="231">
        <v>135.62</v>
      </c>
      <c r="G1272" s="229" t="s">
        <v>1</v>
      </c>
      <c r="H1272" s="405">
        <f ca="1">INDEX(PRODUTIVIDADES!$M:$M,MATCH(tbAREAS[[#This Row],[TIPO DE ÁREA]],PRODUTIVIDADES!$B:$B,0)+MATCH(tbAREAS[[#This Row],[LOCALIDADE]],PRODUTIVIDADES!$A:$A,0)-3)*tbAREAS[[#This Row],[ÁREA EM M²]]</f>
        <v>54.248000000000005</v>
      </c>
      <c r="L1272" s="391"/>
    </row>
    <row r="1273" spans="1:12" hidden="1" x14ac:dyDescent="0.25">
      <c r="A1273" s="228" t="s">
        <v>36</v>
      </c>
      <c r="B1273" s="234" t="s">
        <v>441</v>
      </c>
      <c r="C1273" s="230" t="s">
        <v>450</v>
      </c>
      <c r="D1273" s="230" t="s">
        <v>451</v>
      </c>
      <c r="E1273" s="229" t="s">
        <v>10</v>
      </c>
      <c r="F1273" s="231">
        <v>25.41</v>
      </c>
      <c r="G1273" s="229" t="s">
        <v>1</v>
      </c>
      <c r="H1273" s="405">
        <f ca="1">INDEX(PRODUTIVIDADES!$M:$M,MATCH(tbAREAS[[#This Row],[TIPO DE ÁREA]],PRODUTIVIDADES!$B:$B,0)+MATCH(tbAREAS[[#This Row],[LOCALIDADE]],PRODUTIVIDADES!$A:$A,0)-3)*tbAREAS[[#This Row],[ÁREA EM M²]]</f>
        <v>69.877499999999998</v>
      </c>
      <c r="L1273" s="391"/>
    </row>
    <row r="1274" spans="1:12" hidden="1" x14ac:dyDescent="0.25">
      <c r="A1274" s="228" t="s">
        <v>36</v>
      </c>
      <c r="B1274" s="234" t="s">
        <v>441</v>
      </c>
      <c r="C1274" s="230" t="s">
        <v>450</v>
      </c>
      <c r="D1274" s="230" t="s">
        <v>451</v>
      </c>
      <c r="E1274" s="229" t="s">
        <v>14</v>
      </c>
      <c r="F1274" s="231">
        <v>133.86000000000001</v>
      </c>
      <c r="G1274" s="229" t="s">
        <v>1</v>
      </c>
      <c r="H1274" s="405">
        <f ca="1">INDEX(PRODUTIVIDADES!$M:$M,MATCH(tbAREAS[[#This Row],[TIPO DE ÁREA]],PRODUTIVIDADES!$B:$B,0)+MATCH(tbAREAS[[#This Row],[LOCALIDADE]],PRODUTIVIDADES!$A:$A,0)-3)*tbAREAS[[#This Row],[ÁREA EM M²]]</f>
        <v>1003.95</v>
      </c>
      <c r="L1274" s="391"/>
    </row>
    <row r="1275" spans="1:12" hidden="1" x14ac:dyDescent="0.25">
      <c r="A1275" s="228" t="s">
        <v>36</v>
      </c>
      <c r="B1275" s="234" t="s">
        <v>441</v>
      </c>
      <c r="C1275" s="230" t="s">
        <v>450</v>
      </c>
      <c r="D1275" s="230" t="s">
        <v>451</v>
      </c>
      <c r="E1275" s="229" t="s">
        <v>15</v>
      </c>
      <c r="F1275" s="231">
        <v>4.95</v>
      </c>
      <c r="G1275" s="229" t="s">
        <v>1</v>
      </c>
      <c r="H1275" s="405">
        <f ca="1">INDEX(PRODUTIVIDADES!$M:$M,MATCH(tbAREAS[[#This Row],[TIPO DE ÁREA]],PRODUTIVIDADES!$B:$B,0)+MATCH(tbAREAS[[#This Row],[LOCALIDADE]],PRODUTIVIDADES!$A:$A,0)-3)*tbAREAS[[#This Row],[ÁREA EM M²]]</f>
        <v>3.0194999999999999</v>
      </c>
      <c r="L1275" s="391"/>
    </row>
    <row r="1276" spans="1:12" hidden="1" x14ac:dyDescent="0.25">
      <c r="A1276" s="228" t="s">
        <v>36</v>
      </c>
      <c r="B1276" s="234" t="s">
        <v>441</v>
      </c>
      <c r="C1276" s="230" t="s">
        <v>450</v>
      </c>
      <c r="D1276" s="230" t="s">
        <v>451</v>
      </c>
      <c r="E1276" s="229" t="s">
        <v>17</v>
      </c>
      <c r="F1276" s="231">
        <v>32.61</v>
      </c>
      <c r="G1276" s="229" t="s">
        <v>1</v>
      </c>
      <c r="H1276" s="405">
        <f ca="1">INDEX(PRODUTIVIDADES!$M:$M,MATCH(tbAREAS[[#This Row],[TIPO DE ÁREA]],PRODUTIVIDADES!$B:$B,0)+MATCH(tbAREAS[[#This Row],[LOCALIDADE]],PRODUTIVIDADES!$A:$A,0)-3)*tbAREAS[[#This Row],[ÁREA EM M²]]</f>
        <v>67.176600000000008</v>
      </c>
      <c r="L1276" s="391"/>
    </row>
    <row r="1277" spans="1:12" hidden="1" x14ac:dyDescent="0.25">
      <c r="A1277" s="228" t="s">
        <v>36</v>
      </c>
      <c r="B1277" s="234" t="s">
        <v>441</v>
      </c>
      <c r="C1277" s="230" t="s">
        <v>450</v>
      </c>
      <c r="D1277" s="230" t="s">
        <v>451</v>
      </c>
      <c r="E1277" s="229" t="s">
        <v>18</v>
      </c>
      <c r="F1277" s="231">
        <v>10.82</v>
      </c>
      <c r="G1277" s="229" t="s">
        <v>1</v>
      </c>
      <c r="H1277" s="405">
        <f ca="1">INDEX(PRODUTIVIDADES!$M:$M,MATCH(tbAREAS[[#This Row],[TIPO DE ÁREA]],PRODUTIVIDADES!$B:$B,0)+MATCH(tbAREAS[[#This Row],[LOCALIDADE]],PRODUTIVIDADES!$A:$A,0)-3)*tbAREAS[[#This Row],[ÁREA EM M²]]</f>
        <v>433.77380000000005</v>
      </c>
      <c r="L1277" s="391"/>
    </row>
    <row r="1278" spans="1:12" hidden="1" x14ac:dyDescent="0.25">
      <c r="A1278" s="228" t="s">
        <v>36</v>
      </c>
      <c r="B1278" s="234" t="s">
        <v>441</v>
      </c>
      <c r="C1278" s="230" t="s">
        <v>450</v>
      </c>
      <c r="D1278" s="230" t="s">
        <v>451</v>
      </c>
      <c r="E1278" s="229" t="s">
        <v>20</v>
      </c>
      <c r="F1278" s="231">
        <v>134</v>
      </c>
      <c r="G1278" s="229" t="s">
        <v>1</v>
      </c>
      <c r="H1278" s="405">
        <f ca="1">INDEX(PRODUTIVIDADES!$M:$M,MATCH(tbAREAS[[#This Row],[TIPO DE ÁREA]],PRODUTIVIDADES!$B:$B,0)+MATCH(tbAREAS[[#This Row],[LOCALIDADE]],PRODUTIVIDADES!$A:$A,0)-3)*tbAREAS[[#This Row],[ÁREA EM M²]]</f>
        <v>91.12</v>
      </c>
      <c r="L1278" s="391"/>
    </row>
    <row r="1279" spans="1:12" hidden="1" x14ac:dyDescent="0.25">
      <c r="A1279" s="228" t="s">
        <v>36</v>
      </c>
      <c r="B1279" s="234" t="s">
        <v>441</v>
      </c>
      <c r="C1279" s="230" t="s">
        <v>450</v>
      </c>
      <c r="D1279" s="230" t="s">
        <v>451</v>
      </c>
      <c r="E1279" s="229" t="s">
        <v>21</v>
      </c>
      <c r="F1279" s="231">
        <v>23.1</v>
      </c>
      <c r="G1279" s="229" t="s">
        <v>1</v>
      </c>
      <c r="H1279" s="405">
        <f ca="1">INDEX(PRODUTIVIDADES!$M:$M,MATCH(tbAREAS[[#This Row],[TIPO DE ÁREA]],PRODUTIVIDADES!$B:$B,0)+MATCH(tbAREAS[[#This Row],[LOCALIDADE]],PRODUTIVIDADES!$A:$A,0)-3)*tbAREAS[[#This Row],[ÁREA EM M²]]</f>
        <v>3.9270000000000005</v>
      </c>
      <c r="L1279" s="391"/>
    </row>
    <row r="1280" spans="1:12" hidden="1" x14ac:dyDescent="0.25">
      <c r="A1280" s="228" t="s">
        <v>36</v>
      </c>
      <c r="B1280" s="234" t="s">
        <v>441</v>
      </c>
      <c r="C1280" s="230" t="s">
        <v>450</v>
      </c>
      <c r="D1280" s="230" t="s">
        <v>451</v>
      </c>
      <c r="E1280" s="229" t="s">
        <v>22</v>
      </c>
      <c r="F1280" s="231">
        <v>23.1</v>
      </c>
      <c r="G1280" s="229" t="s">
        <v>1</v>
      </c>
      <c r="H1280" s="405">
        <f ca="1">INDEX(PRODUTIVIDADES!$M:$M,MATCH(tbAREAS[[#This Row],[TIPO DE ÁREA]],PRODUTIVIDADES!$B:$B,0)+MATCH(tbAREAS[[#This Row],[LOCALIDADE]],PRODUTIVIDADES!$A:$A,0)-3)*tbAREAS[[#This Row],[ÁREA EM M²]]</f>
        <v>9.24</v>
      </c>
      <c r="L1280" s="391"/>
    </row>
    <row r="1281" spans="1:12" hidden="1" x14ac:dyDescent="0.25">
      <c r="A1281" s="228" t="s">
        <v>36</v>
      </c>
      <c r="B1281" s="234" t="s">
        <v>441</v>
      </c>
      <c r="C1281" s="230" t="s">
        <v>452</v>
      </c>
      <c r="D1281" s="230" t="s">
        <v>453</v>
      </c>
      <c r="E1281" s="229" t="s">
        <v>14</v>
      </c>
      <c r="F1281" s="231">
        <v>163.18</v>
      </c>
      <c r="G1281" s="229" t="s">
        <v>1</v>
      </c>
      <c r="H1281" s="405">
        <f ca="1">INDEX(PRODUTIVIDADES!$M:$M,MATCH(tbAREAS[[#This Row],[TIPO DE ÁREA]],PRODUTIVIDADES!$B:$B,0)+MATCH(tbAREAS[[#This Row],[LOCALIDADE]],PRODUTIVIDADES!$A:$A,0)-3)*tbAREAS[[#This Row],[ÁREA EM M²]]</f>
        <v>1223.8500000000001</v>
      </c>
      <c r="L1281" s="391"/>
    </row>
    <row r="1282" spans="1:12" hidden="1" x14ac:dyDescent="0.25">
      <c r="A1282" s="228" t="s">
        <v>36</v>
      </c>
      <c r="B1282" s="234" t="s">
        <v>441</v>
      </c>
      <c r="C1282" s="230" t="s">
        <v>452</v>
      </c>
      <c r="D1282" s="230" t="s">
        <v>453</v>
      </c>
      <c r="E1282" s="229" t="s">
        <v>15</v>
      </c>
      <c r="F1282" s="231">
        <v>2.0699999999999998</v>
      </c>
      <c r="G1282" s="229" t="s">
        <v>1</v>
      </c>
      <c r="H1282" s="405">
        <f ca="1">INDEX(PRODUTIVIDADES!$M:$M,MATCH(tbAREAS[[#This Row],[TIPO DE ÁREA]],PRODUTIVIDADES!$B:$B,0)+MATCH(tbAREAS[[#This Row],[LOCALIDADE]],PRODUTIVIDADES!$A:$A,0)-3)*tbAREAS[[#This Row],[ÁREA EM M²]]</f>
        <v>1.2626999999999999</v>
      </c>
      <c r="L1282" s="391"/>
    </row>
    <row r="1283" spans="1:12" hidden="1" x14ac:dyDescent="0.25">
      <c r="A1283" s="228" t="s">
        <v>36</v>
      </c>
      <c r="B1283" s="234" t="s">
        <v>441</v>
      </c>
      <c r="C1283" s="230" t="s">
        <v>452</v>
      </c>
      <c r="D1283" s="230" t="s">
        <v>453</v>
      </c>
      <c r="E1283" s="229" t="s">
        <v>17</v>
      </c>
      <c r="F1283" s="231">
        <v>25.74</v>
      </c>
      <c r="G1283" s="229" t="s">
        <v>1</v>
      </c>
      <c r="H1283" s="405">
        <f ca="1">INDEX(PRODUTIVIDADES!$M:$M,MATCH(tbAREAS[[#This Row],[TIPO DE ÁREA]],PRODUTIVIDADES!$B:$B,0)+MATCH(tbAREAS[[#This Row],[LOCALIDADE]],PRODUTIVIDADES!$A:$A,0)-3)*tbAREAS[[#This Row],[ÁREA EM M²]]</f>
        <v>53.0244</v>
      </c>
      <c r="L1283" s="391"/>
    </row>
    <row r="1284" spans="1:12" hidden="1" x14ac:dyDescent="0.25">
      <c r="A1284" s="228" t="s">
        <v>36</v>
      </c>
      <c r="B1284" s="234" t="s">
        <v>441</v>
      </c>
      <c r="C1284" s="230" t="s">
        <v>452</v>
      </c>
      <c r="D1284" s="230" t="s">
        <v>453</v>
      </c>
      <c r="E1284" s="229" t="s">
        <v>18</v>
      </c>
      <c r="F1284" s="231">
        <v>8.2799999999999994</v>
      </c>
      <c r="G1284" s="229" t="s">
        <v>1</v>
      </c>
      <c r="H1284" s="405">
        <f ca="1">INDEX(PRODUTIVIDADES!$M:$M,MATCH(tbAREAS[[#This Row],[TIPO DE ÁREA]],PRODUTIVIDADES!$B:$B,0)+MATCH(tbAREAS[[#This Row],[LOCALIDADE]],PRODUTIVIDADES!$A:$A,0)-3)*tbAREAS[[#This Row],[ÁREA EM M²]]</f>
        <v>331.9452</v>
      </c>
      <c r="L1284" s="391"/>
    </row>
    <row r="1285" spans="1:12" hidden="1" x14ac:dyDescent="0.25">
      <c r="A1285" s="228" t="s">
        <v>36</v>
      </c>
      <c r="B1285" s="234" t="s">
        <v>441</v>
      </c>
      <c r="C1285" s="230" t="s">
        <v>452</v>
      </c>
      <c r="D1285" s="230" t="s">
        <v>453</v>
      </c>
      <c r="E1285" s="229" t="s">
        <v>20</v>
      </c>
      <c r="F1285" s="231">
        <v>100</v>
      </c>
      <c r="G1285" s="229" t="s">
        <v>1</v>
      </c>
      <c r="H1285" s="405">
        <f ca="1">INDEX(PRODUTIVIDADES!$M:$M,MATCH(tbAREAS[[#This Row],[TIPO DE ÁREA]],PRODUTIVIDADES!$B:$B,0)+MATCH(tbAREAS[[#This Row],[LOCALIDADE]],PRODUTIVIDADES!$A:$A,0)-3)*tbAREAS[[#This Row],[ÁREA EM M²]]</f>
        <v>68</v>
      </c>
      <c r="L1285" s="391"/>
    </row>
    <row r="1286" spans="1:12" hidden="1" x14ac:dyDescent="0.25">
      <c r="A1286" s="228" t="s">
        <v>36</v>
      </c>
      <c r="B1286" s="234" t="s">
        <v>441</v>
      </c>
      <c r="C1286" s="230" t="s">
        <v>452</v>
      </c>
      <c r="D1286" s="230" t="s">
        <v>453</v>
      </c>
      <c r="E1286" s="229" t="s">
        <v>21</v>
      </c>
      <c r="F1286" s="231">
        <v>93.78</v>
      </c>
      <c r="G1286" s="229" t="s">
        <v>1</v>
      </c>
      <c r="H1286" s="405">
        <f ca="1">INDEX(PRODUTIVIDADES!$M:$M,MATCH(tbAREAS[[#This Row],[TIPO DE ÁREA]],PRODUTIVIDADES!$B:$B,0)+MATCH(tbAREAS[[#This Row],[LOCALIDADE]],PRODUTIVIDADES!$A:$A,0)-3)*tbAREAS[[#This Row],[ÁREA EM M²]]</f>
        <v>15.942600000000001</v>
      </c>
      <c r="L1286" s="391"/>
    </row>
    <row r="1287" spans="1:12" hidden="1" x14ac:dyDescent="0.25">
      <c r="A1287" s="228" t="s">
        <v>36</v>
      </c>
      <c r="B1287" s="234" t="s">
        <v>441</v>
      </c>
      <c r="C1287" s="230" t="s">
        <v>452</v>
      </c>
      <c r="D1287" s="230" t="s">
        <v>453</v>
      </c>
      <c r="E1287" s="229" t="s">
        <v>22</v>
      </c>
      <c r="F1287" s="231">
        <v>93.78</v>
      </c>
      <c r="G1287" s="229" t="s">
        <v>1</v>
      </c>
      <c r="H1287" s="405">
        <f ca="1">INDEX(PRODUTIVIDADES!$M:$M,MATCH(tbAREAS[[#This Row],[TIPO DE ÁREA]],PRODUTIVIDADES!$B:$B,0)+MATCH(tbAREAS[[#This Row],[LOCALIDADE]],PRODUTIVIDADES!$A:$A,0)-3)*tbAREAS[[#This Row],[ÁREA EM M²]]</f>
        <v>37.512</v>
      </c>
      <c r="L1287" s="391"/>
    </row>
    <row r="1288" spans="1:12" hidden="1" x14ac:dyDescent="0.25">
      <c r="A1288" s="228" t="s">
        <v>36</v>
      </c>
      <c r="B1288" s="234" t="s">
        <v>441</v>
      </c>
      <c r="C1288" s="230" t="s">
        <v>454</v>
      </c>
      <c r="D1288" s="230" t="s">
        <v>455</v>
      </c>
      <c r="E1288" s="229" t="s">
        <v>10</v>
      </c>
      <c r="F1288" s="231">
        <v>18.5</v>
      </c>
      <c r="G1288" s="229" t="s">
        <v>1</v>
      </c>
      <c r="H1288" s="405">
        <f ca="1">INDEX(PRODUTIVIDADES!$M:$M,MATCH(tbAREAS[[#This Row],[TIPO DE ÁREA]],PRODUTIVIDADES!$B:$B,0)+MATCH(tbAREAS[[#This Row],[LOCALIDADE]],PRODUTIVIDADES!$A:$A,0)-3)*tbAREAS[[#This Row],[ÁREA EM M²]]</f>
        <v>50.875</v>
      </c>
      <c r="L1288" s="391"/>
    </row>
    <row r="1289" spans="1:12" hidden="1" x14ac:dyDescent="0.25">
      <c r="A1289" s="228" t="s">
        <v>36</v>
      </c>
      <c r="B1289" s="234" t="s">
        <v>441</v>
      </c>
      <c r="C1289" s="230" t="s">
        <v>454</v>
      </c>
      <c r="D1289" s="230" t="s">
        <v>455</v>
      </c>
      <c r="E1289" s="229" t="s">
        <v>17</v>
      </c>
      <c r="F1289" s="231">
        <v>127</v>
      </c>
      <c r="G1289" s="229" t="s">
        <v>1</v>
      </c>
      <c r="H1289" s="405">
        <f ca="1">INDEX(PRODUTIVIDADES!$M:$M,MATCH(tbAREAS[[#This Row],[TIPO DE ÁREA]],PRODUTIVIDADES!$B:$B,0)+MATCH(tbAREAS[[#This Row],[LOCALIDADE]],PRODUTIVIDADES!$A:$A,0)-3)*tbAREAS[[#This Row],[ÁREA EM M²]]</f>
        <v>261.62</v>
      </c>
      <c r="L1289" s="391"/>
    </row>
    <row r="1290" spans="1:12" hidden="1" x14ac:dyDescent="0.25">
      <c r="A1290" s="228" t="s">
        <v>36</v>
      </c>
      <c r="B1290" s="234" t="s">
        <v>441</v>
      </c>
      <c r="C1290" s="230" t="s">
        <v>454</v>
      </c>
      <c r="D1290" s="230" t="s">
        <v>455</v>
      </c>
      <c r="E1290" s="229" t="s">
        <v>18</v>
      </c>
      <c r="F1290" s="231">
        <v>6.8</v>
      </c>
      <c r="G1290" s="229" t="s">
        <v>1</v>
      </c>
      <c r="H1290" s="405">
        <f ca="1">INDEX(PRODUTIVIDADES!$M:$M,MATCH(tbAREAS[[#This Row],[TIPO DE ÁREA]],PRODUTIVIDADES!$B:$B,0)+MATCH(tbAREAS[[#This Row],[LOCALIDADE]],PRODUTIVIDADES!$A:$A,0)-3)*tbAREAS[[#This Row],[ÁREA EM M²]]</f>
        <v>272.61200000000002</v>
      </c>
      <c r="L1290" s="391"/>
    </row>
    <row r="1291" spans="1:12" hidden="1" x14ac:dyDescent="0.25">
      <c r="A1291" s="228" t="s">
        <v>36</v>
      </c>
      <c r="B1291" s="234" t="s">
        <v>441</v>
      </c>
      <c r="C1291" s="230" t="s">
        <v>454</v>
      </c>
      <c r="D1291" s="230" t="s">
        <v>455</v>
      </c>
      <c r="E1291" s="229" t="s">
        <v>20</v>
      </c>
      <c r="F1291" s="231">
        <v>50</v>
      </c>
      <c r="G1291" s="229" t="s">
        <v>1</v>
      </c>
      <c r="H1291" s="405">
        <f ca="1">INDEX(PRODUTIVIDADES!$M:$M,MATCH(tbAREAS[[#This Row],[TIPO DE ÁREA]],PRODUTIVIDADES!$B:$B,0)+MATCH(tbAREAS[[#This Row],[LOCALIDADE]],PRODUTIVIDADES!$A:$A,0)-3)*tbAREAS[[#This Row],[ÁREA EM M²]]</f>
        <v>34</v>
      </c>
      <c r="L1291" s="391"/>
    </row>
    <row r="1292" spans="1:12" hidden="1" x14ac:dyDescent="0.25">
      <c r="A1292" s="228" t="s">
        <v>36</v>
      </c>
      <c r="B1292" s="234" t="s">
        <v>441</v>
      </c>
      <c r="C1292" s="230" t="s">
        <v>454</v>
      </c>
      <c r="D1292" s="230" t="s">
        <v>455</v>
      </c>
      <c r="E1292" s="229" t="s">
        <v>21</v>
      </c>
      <c r="F1292" s="231">
        <v>73.89</v>
      </c>
      <c r="G1292" s="229" t="s">
        <v>1</v>
      </c>
      <c r="H1292" s="405">
        <f ca="1">INDEX(PRODUTIVIDADES!$M:$M,MATCH(tbAREAS[[#This Row],[TIPO DE ÁREA]],PRODUTIVIDADES!$B:$B,0)+MATCH(tbAREAS[[#This Row],[LOCALIDADE]],PRODUTIVIDADES!$A:$A,0)-3)*tbAREAS[[#This Row],[ÁREA EM M²]]</f>
        <v>12.561300000000001</v>
      </c>
      <c r="L1292" s="391"/>
    </row>
    <row r="1293" spans="1:12" hidden="1" x14ac:dyDescent="0.25">
      <c r="A1293" s="228" t="s">
        <v>36</v>
      </c>
      <c r="B1293" s="234" t="s">
        <v>441</v>
      </c>
      <c r="C1293" s="230" t="s">
        <v>454</v>
      </c>
      <c r="D1293" s="230" t="s">
        <v>455</v>
      </c>
      <c r="E1293" s="229" t="s">
        <v>22</v>
      </c>
      <c r="F1293" s="231">
        <v>73.89</v>
      </c>
      <c r="G1293" s="229" t="s">
        <v>1</v>
      </c>
      <c r="H1293" s="405">
        <f ca="1">INDEX(PRODUTIVIDADES!$M:$M,MATCH(tbAREAS[[#This Row],[TIPO DE ÁREA]],PRODUTIVIDADES!$B:$B,0)+MATCH(tbAREAS[[#This Row],[LOCALIDADE]],PRODUTIVIDADES!$A:$A,0)-3)*tbAREAS[[#This Row],[ÁREA EM M²]]</f>
        <v>29.556000000000001</v>
      </c>
      <c r="L1293" s="391"/>
    </row>
    <row r="1294" spans="1:12" hidden="1" x14ac:dyDescent="0.25">
      <c r="A1294" s="228" t="s">
        <v>36</v>
      </c>
      <c r="B1294" s="234" t="s">
        <v>441</v>
      </c>
      <c r="C1294" s="230" t="s">
        <v>456</v>
      </c>
      <c r="D1294" s="230" t="s">
        <v>457</v>
      </c>
      <c r="E1294" s="229" t="s">
        <v>10</v>
      </c>
      <c r="F1294" s="231">
        <v>40.229999999999997</v>
      </c>
      <c r="G1294" s="229" t="s">
        <v>1</v>
      </c>
      <c r="H1294" s="405">
        <f ca="1">INDEX(PRODUTIVIDADES!$M:$M,MATCH(tbAREAS[[#This Row],[TIPO DE ÁREA]],PRODUTIVIDADES!$B:$B,0)+MATCH(tbAREAS[[#This Row],[LOCALIDADE]],PRODUTIVIDADES!$A:$A,0)-3)*tbAREAS[[#This Row],[ÁREA EM M²]]</f>
        <v>110.63249999999999</v>
      </c>
      <c r="L1294" s="391"/>
    </row>
    <row r="1295" spans="1:12" hidden="1" x14ac:dyDescent="0.25">
      <c r="A1295" s="228" t="s">
        <v>36</v>
      </c>
      <c r="B1295" s="234" t="s">
        <v>441</v>
      </c>
      <c r="C1295" s="230" t="s">
        <v>456</v>
      </c>
      <c r="D1295" s="230" t="s">
        <v>457</v>
      </c>
      <c r="E1295" s="229" t="s">
        <v>14</v>
      </c>
      <c r="F1295" s="231">
        <v>153.36000000000001</v>
      </c>
      <c r="G1295" s="229" t="s">
        <v>1</v>
      </c>
      <c r="H1295" s="405">
        <f ca="1">INDEX(PRODUTIVIDADES!$M:$M,MATCH(tbAREAS[[#This Row],[TIPO DE ÁREA]],PRODUTIVIDADES!$B:$B,0)+MATCH(tbAREAS[[#This Row],[LOCALIDADE]],PRODUTIVIDADES!$A:$A,0)-3)*tbAREAS[[#This Row],[ÁREA EM M²]]</f>
        <v>1150.2</v>
      </c>
      <c r="L1295" s="391"/>
    </row>
    <row r="1296" spans="1:12" hidden="1" x14ac:dyDescent="0.25">
      <c r="A1296" s="228" t="s">
        <v>36</v>
      </c>
      <c r="B1296" s="234" t="s">
        <v>441</v>
      </c>
      <c r="C1296" s="230" t="s">
        <v>456</v>
      </c>
      <c r="D1296" s="230" t="s">
        <v>457</v>
      </c>
      <c r="E1296" s="229" t="s">
        <v>15</v>
      </c>
      <c r="F1296" s="231">
        <v>1.69</v>
      </c>
      <c r="G1296" s="229" t="s">
        <v>1</v>
      </c>
      <c r="H1296" s="405">
        <f ca="1">INDEX(PRODUTIVIDADES!$M:$M,MATCH(tbAREAS[[#This Row],[TIPO DE ÁREA]],PRODUTIVIDADES!$B:$B,0)+MATCH(tbAREAS[[#This Row],[LOCALIDADE]],PRODUTIVIDADES!$A:$A,0)-3)*tbAREAS[[#This Row],[ÁREA EM M²]]</f>
        <v>1.0308999999999999</v>
      </c>
      <c r="L1296" s="391"/>
    </row>
    <row r="1297" spans="1:12" hidden="1" x14ac:dyDescent="0.25">
      <c r="A1297" s="228" t="s">
        <v>36</v>
      </c>
      <c r="B1297" s="234" t="s">
        <v>441</v>
      </c>
      <c r="C1297" s="230" t="s">
        <v>456</v>
      </c>
      <c r="D1297" s="230" t="s">
        <v>457</v>
      </c>
      <c r="E1297" s="229" t="s">
        <v>18</v>
      </c>
      <c r="F1297" s="231">
        <v>14.93</v>
      </c>
      <c r="G1297" s="229" t="s">
        <v>1</v>
      </c>
      <c r="H1297" s="405">
        <f ca="1">INDEX(PRODUTIVIDADES!$M:$M,MATCH(tbAREAS[[#This Row],[TIPO DE ÁREA]],PRODUTIVIDADES!$B:$B,0)+MATCH(tbAREAS[[#This Row],[LOCALIDADE]],PRODUTIVIDADES!$A:$A,0)-3)*tbAREAS[[#This Row],[ÁREA EM M²]]</f>
        <v>598.54370000000006</v>
      </c>
      <c r="L1297" s="391"/>
    </row>
    <row r="1298" spans="1:12" hidden="1" x14ac:dyDescent="0.25">
      <c r="A1298" s="228" t="s">
        <v>36</v>
      </c>
      <c r="B1298" s="234" t="s">
        <v>441</v>
      </c>
      <c r="C1298" s="230" t="s">
        <v>456</v>
      </c>
      <c r="D1298" s="230" t="s">
        <v>457</v>
      </c>
      <c r="E1298" s="229" t="s">
        <v>20</v>
      </c>
      <c r="F1298" s="231">
        <v>62</v>
      </c>
      <c r="G1298" s="229" t="s">
        <v>1</v>
      </c>
      <c r="H1298" s="405">
        <f ca="1">INDEX(PRODUTIVIDADES!$M:$M,MATCH(tbAREAS[[#This Row],[TIPO DE ÁREA]],PRODUTIVIDADES!$B:$B,0)+MATCH(tbAREAS[[#This Row],[LOCALIDADE]],PRODUTIVIDADES!$A:$A,0)-3)*tbAREAS[[#This Row],[ÁREA EM M²]]</f>
        <v>42.160000000000004</v>
      </c>
      <c r="L1298" s="391"/>
    </row>
    <row r="1299" spans="1:12" hidden="1" x14ac:dyDescent="0.25">
      <c r="A1299" s="228" t="s">
        <v>36</v>
      </c>
      <c r="B1299" s="234" t="s">
        <v>441</v>
      </c>
      <c r="C1299" s="230" t="s">
        <v>456</v>
      </c>
      <c r="D1299" s="230" t="s">
        <v>457</v>
      </c>
      <c r="E1299" s="229" t="s">
        <v>21</v>
      </c>
      <c r="F1299" s="231">
        <v>49.24</v>
      </c>
      <c r="G1299" s="229" t="s">
        <v>1</v>
      </c>
      <c r="H1299" s="405">
        <f ca="1">INDEX(PRODUTIVIDADES!$M:$M,MATCH(tbAREAS[[#This Row],[TIPO DE ÁREA]],PRODUTIVIDADES!$B:$B,0)+MATCH(tbAREAS[[#This Row],[LOCALIDADE]],PRODUTIVIDADES!$A:$A,0)-3)*tbAREAS[[#This Row],[ÁREA EM M²]]</f>
        <v>8.3708000000000009</v>
      </c>
      <c r="L1299" s="391"/>
    </row>
    <row r="1300" spans="1:12" hidden="1" x14ac:dyDescent="0.25">
      <c r="A1300" s="228" t="s">
        <v>36</v>
      </c>
      <c r="B1300" s="234" t="s">
        <v>441</v>
      </c>
      <c r="C1300" s="230" t="s">
        <v>456</v>
      </c>
      <c r="D1300" s="230" t="s">
        <v>457</v>
      </c>
      <c r="E1300" s="229" t="s">
        <v>22</v>
      </c>
      <c r="F1300" s="231">
        <v>49.24</v>
      </c>
      <c r="G1300" s="229" t="s">
        <v>1</v>
      </c>
      <c r="H1300" s="405">
        <f ca="1">INDEX(PRODUTIVIDADES!$M:$M,MATCH(tbAREAS[[#This Row],[TIPO DE ÁREA]],PRODUTIVIDADES!$B:$B,0)+MATCH(tbAREAS[[#This Row],[LOCALIDADE]],PRODUTIVIDADES!$A:$A,0)-3)*tbAREAS[[#This Row],[ÁREA EM M²]]</f>
        <v>19.696000000000002</v>
      </c>
      <c r="L1300" s="391"/>
    </row>
    <row r="1301" spans="1:12" hidden="1" x14ac:dyDescent="0.25">
      <c r="A1301" s="228" t="s">
        <v>36</v>
      </c>
      <c r="B1301" s="234" t="s">
        <v>441</v>
      </c>
      <c r="C1301" s="230" t="s">
        <v>458</v>
      </c>
      <c r="D1301" s="230" t="s">
        <v>459</v>
      </c>
      <c r="E1301" s="229" t="s">
        <v>10</v>
      </c>
      <c r="F1301" s="231">
        <v>423.11</v>
      </c>
      <c r="G1301" s="229" t="s">
        <v>1</v>
      </c>
      <c r="H1301" s="405">
        <f ca="1">INDEX(PRODUTIVIDADES!$M:$M,MATCH(tbAREAS[[#This Row],[TIPO DE ÁREA]],PRODUTIVIDADES!$B:$B,0)+MATCH(tbAREAS[[#This Row],[LOCALIDADE]],PRODUTIVIDADES!$A:$A,0)-3)*tbAREAS[[#This Row],[ÁREA EM M²]]</f>
        <v>1163.5525</v>
      </c>
      <c r="L1301" s="391"/>
    </row>
    <row r="1302" spans="1:12" hidden="1" x14ac:dyDescent="0.25">
      <c r="A1302" s="228" t="s">
        <v>36</v>
      </c>
      <c r="B1302" s="234" t="s">
        <v>441</v>
      </c>
      <c r="C1302" s="230" t="s">
        <v>458</v>
      </c>
      <c r="D1302" s="230" t="s">
        <v>459</v>
      </c>
      <c r="E1302" s="229" t="s">
        <v>15</v>
      </c>
      <c r="F1302" s="231">
        <v>6.75</v>
      </c>
      <c r="G1302" s="229" t="s">
        <v>1</v>
      </c>
      <c r="H1302" s="405">
        <f ca="1">INDEX(PRODUTIVIDADES!$M:$M,MATCH(tbAREAS[[#This Row],[TIPO DE ÁREA]],PRODUTIVIDADES!$B:$B,0)+MATCH(tbAREAS[[#This Row],[LOCALIDADE]],PRODUTIVIDADES!$A:$A,0)-3)*tbAREAS[[#This Row],[ÁREA EM M²]]</f>
        <v>4.1174999999999997</v>
      </c>
      <c r="L1302" s="391"/>
    </row>
    <row r="1303" spans="1:12" hidden="1" x14ac:dyDescent="0.25">
      <c r="A1303" s="228" t="s">
        <v>36</v>
      </c>
      <c r="B1303" s="234" t="s">
        <v>441</v>
      </c>
      <c r="C1303" s="230" t="s">
        <v>458</v>
      </c>
      <c r="D1303" s="230" t="s">
        <v>459</v>
      </c>
      <c r="E1303" s="229" t="s">
        <v>17</v>
      </c>
      <c r="F1303" s="231">
        <v>131.37</v>
      </c>
      <c r="G1303" s="229" t="s">
        <v>1</v>
      </c>
      <c r="H1303" s="405">
        <f ca="1">INDEX(PRODUTIVIDADES!$M:$M,MATCH(tbAREAS[[#This Row],[TIPO DE ÁREA]],PRODUTIVIDADES!$B:$B,0)+MATCH(tbAREAS[[#This Row],[LOCALIDADE]],PRODUTIVIDADES!$A:$A,0)-3)*tbAREAS[[#This Row],[ÁREA EM M²]]</f>
        <v>270.62220000000002</v>
      </c>
      <c r="L1303" s="391"/>
    </row>
    <row r="1304" spans="1:12" hidden="1" x14ac:dyDescent="0.25">
      <c r="A1304" s="228" t="s">
        <v>36</v>
      </c>
      <c r="B1304" s="234" t="s">
        <v>441</v>
      </c>
      <c r="C1304" s="230" t="s">
        <v>458</v>
      </c>
      <c r="D1304" s="230" t="s">
        <v>459</v>
      </c>
      <c r="E1304" s="229" t="s">
        <v>18</v>
      </c>
      <c r="F1304" s="231">
        <v>22.07</v>
      </c>
      <c r="G1304" s="229" t="s">
        <v>1</v>
      </c>
      <c r="H1304" s="405">
        <f ca="1">INDEX(PRODUTIVIDADES!$M:$M,MATCH(tbAREAS[[#This Row],[TIPO DE ÁREA]],PRODUTIVIDADES!$B:$B,0)+MATCH(tbAREAS[[#This Row],[LOCALIDADE]],PRODUTIVIDADES!$A:$A,0)-3)*tbAREAS[[#This Row],[ÁREA EM M²]]</f>
        <v>884.7863000000001</v>
      </c>
      <c r="L1304" s="391"/>
    </row>
    <row r="1305" spans="1:12" hidden="1" x14ac:dyDescent="0.25">
      <c r="A1305" s="228" t="s">
        <v>36</v>
      </c>
      <c r="B1305" s="234" t="s">
        <v>441</v>
      </c>
      <c r="C1305" s="230" t="s">
        <v>458</v>
      </c>
      <c r="D1305" s="230" t="s">
        <v>459</v>
      </c>
      <c r="E1305" s="229" t="s">
        <v>20</v>
      </c>
      <c r="F1305" s="231">
        <v>150.85</v>
      </c>
      <c r="G1305" s="229" t="s">
        <v>1</v>
      </c>
      <c r="H1305" s="405">
        <f ca="1">INDEX(PRODUTIVIDADES!$M:$M,MATCH(tbAREAS[[#This Row],[TIPO DE ÁREA]],PRODUTIVIDADES!$B:$B,0)+MATCH(tbAREAS[[#This Row],[LOCALIDADE]],PRODUTIVIDADES!$A:$A,0)-3)*tbAREAS[[#This Row],[ÁREA EM M²]]</f>
        <v>102.578</v>
      </c>
      <c r="L1305" s="391"/>
    </row>
    <row r="1306" spans="1:12" hidden="1" x14ac:dyDescent="0.25">
      <c r="A1306" s="228" t="s">
        <v>36</v>
      </c>
      <c r="B1306" s="234" t="s">
        <v>441</v>
      </c>
      <c r="C1306" s="230" t="s">
        <v>458</v>
      </c>
      <c r="D1306" s="230" t="s">
        <v>459</v>
      </c>
      <c r="E1306" s="229" t="s">
        <v>21</v>
      </c>
      <c r="F1306" s="231">
        <v>93.78</v>
      </c>
      <c r="G1306" s="229" t="s">
        <v>1</v>
      </c>
      <c r="H1306" s="405">
        <f ca="1">INDEX(PRODUTIVIDADES!$M:$M,MATCH(tbAREAS[[#This Row],[TIPO DE ÁREA]],PRODUTIVIDADES!$B:$B,0)+MATCH(tbAREAS[[#This Row],[LOCALIDADE]],PRODUTIVIDADES!$A:$A,0)-3)*tbAREAS[[#This Row],[ÁREA EM M²]]</f>
        <v>15.942600000000001</v>
      </c>
      <c r="L1306" s="391"/>
    </row>
    <row r="1307" spans="1:12" hidden="1" x14ac:dyDescent="0.25">
      <c r="A1307" s="228" t="s">
        <v>36</v>
      </c>
      <c r="B1307" s="234" t="s">
        <v>441</v>
      </c>
      <c r="C1307" s="230" t="s">
        <v>458</v>
      </c>
      <c r="D1307" s="230" t="s">
        <v>459</v>
      </c>
      <c r="E1307" s="229" t="s">
        <v>22</v>
      </c>
      <c r="F1307" s="231">
        <v>93.78</v>
      </c>
      <c r="G1307" s="229" t="s">
        <v>1</v>
      </c>
      <c r="H1307" s="405">
        <f ca="1">INDEX(PRODUTIVIDADES!$M:$M,MATCH(tbAREAS[[#This Row],[TIPO DE ÁREA]],PRODUTIVIDADES!$B:$B,0)+MATCH(tbAREAS[[#This Row],[LOCALIDADE]],PRODUTIVIDADES!$A:$A,0)-3)*tbAREAS[[#This Row],[ÁREA EM M²]]</f>
        <v>37.512</v>
      </c>
      <c r="L1307" s="391"/>
    </row>
    <row r="1308" spans="1:12" hidden="1" x14ac:dyDescent="0.25">
      <c r="A1308" s="228" t="s">
        <v>36</v>
      </c>
      <c r="B1308" s="234" t="s">
        <v>441</v>
      </c>
      <c r="C1308" s="230" t="s">
        <v>460</v>
      </c>
      <c r="D1308" s="230" t="s">
        <v>461</v>
      </c>
      <c r="E1308" s="229" t="s">
        <v>14</v>
      </c>
      <c r="F1308" s="231">
        <v>240.03</v>
      </c>
      <c r="G1308" s="229" t="s">
        <v>1</v>
      </c>
      <c r="H1308" s="405">
        <f ca="1">INDEX(PRODUTIVIDADES!$M:$M,MATCH(tbAREAS[[#This Row],[TIPO DE ÁREA]],PRODUTIVIDADES!$B:$B,0)+MATCH(tbAREAS[[#This Row],[LOCALIDADE]],PRODUTIVIDADES!$A:$A,0)-3)*tbAREAS[[#This Row],[ÁREA EM M²]]</f>
        <v>1800.2249999999999</v>
      </c>
      <c r="L1308" s="391"/>
    </row>
    <row r="1309" spans="1:12" hidden="1" x14ac:dyDescent="0.25">
      <c r="A1309" s="228" t="s">
        <v>36</v>
      </c>
      <c r="B1309" s="234" t="s">
        <v>441</v>
      </c>
      <c r="C1309" s="230" t="s">
        <v>460</v>
      </c>
      <c r="D1309" s="230" t="s">
        <v>461</v>
      </c>
      <c r="E1309" s="229" t="s">
        <v>18</v>
      </c>
      <c r="F1309" s="231">
        <v>9.98</v>
      </c>
      <c r="G1309" s="229" t="s">
        <v>1</v>
      </c>
      <c r="H1309" s="405">
        <f ca="1">INDEX(PRODUTIVIDADES!$M:$M,MATCH(tbAREAS[[#This Row],[TIPO DE ÁREA]],PRODUTIVIDADES!$B:$B,0)+MATCH(tbAREAS[[#This Row],[LOCALIDADE]],PRODUTIVIDADES!$A:$A,0)-3)*tbAREAS[[#This Row],[ÁREA EM M²]]</f>
        <v>400.09820000000008</v>
      </c>
      <c r="L1309" s="391"/>
    </row>
    <row r="1310" spans="1:12" hidden="1" x14ac:dyDescent="0.25">
      <c r="A1310" s="228" t="s">
        <v>36</v>
      </c>
      <c r="B1310" s="234" t="s">
        <v>441</v>
      </c>
      <c r="C1310" s="230" t="s">
        <v>460</v>
      </c>
      <c r="D1310" s="230" t="s">
        <v>461</v>
      </c>
      <c r="E1310" s="229" t="s">
        <v>20</v>
      </c>
      <c r="F1310" s="231">
        <v>20</v>
      </c>
      <c r="G1310" s="229" t="s">
        <v>1</v>
      </c>
      <c r="H1310" s="405">
        <f ca="1">INDEX(PRODUTIVIDADES!$M:$M,MATCH(tbAREAS[[#This Row],[TIPO DE ÁREA]],PRODUTIVIDADES!$B:$B,0)+MATCH(tbAREAS[[#This Row],[LOCALIDADE]],PRODUTIVIDADES!$A:$A,0)-3)*tbAREAS[[#This Row],[ÁREA EM M²]]</f>
        <v>13.600000000000001</v>
      </c>
      <c r="L1310" s="391"/>
    </row>
    <row r="1311" spans="1:12" hidden="1" x14ac:dyDescent="0.25">
      <c r="A1311" s="228" t="s">
        <v>36</v>
      </c>
      <c r="B1311" s="234" t="s">
        <v>441</v>
      </c>
      <c r="C1311" s="230" t="s">
        <v>460</v>
      </c>
      <c r="D1311" s="230" t="s">
        <v>461</v>
      </c>
      <c r="E1311" s="229" t="s">
        <v>21</v>
      </c>
      <c r="F1311" s="231">
        <v>85.26</v>
      </c>
      <c r="G1311" s="229" t="s">
        <v>1</v>
      </c>
      <c r="H1311" s="405">
        <f ca="1">INDEX(PRODUTIVIDADES!$M:$M,MATCH(tbAREAS[[#This Row],[TIPO DE ÁREA]],PRODUTIVIDADES!$B:$B,0)+MATCH(tbAREAS[[#This Row],[LOCALIDADE]],PRODUTIVIDADES!$A:$A,0)-3)*tbAREAS[[#This Row],[ÁREA EM M²]]</f>
        <v>14.494200000000001</v>
      </c>
      <c r="L1311" s="391"/>
    </row>
    <row r="1312" spans="1:12" hidden="1" x14ac:dyDescent="0.25">
      <c r="A1312" s="228" t="s">
        <v>36</v>
      </c>
      <c r="B1312" s="234" t="s">
        <v>441</v>
      </c>
      <c r="C1312" s="230" t="s">
        <v>460</v>
      </c>
      <c r="D1312" s="230" t="s">
        <v>461</v>
      </c>
      <c r="E1312" s="229" t="s">
        <v>22</v>
      </c>
      <c r="F1312" s="231">
        <v>85.26</v>
      </c>
      <c r="G1312" s="229" t="s">
        <v>1</v>
      </c>
      <c r="H1312" s="405">
        <f ca="1">INDEX(PRODUTIVIDADES!$M:$M,MATCH(tbAREAS[[#This Row],[TIPO DE ÁREA]],PRODUTIVIDADES!$B:$B,0)+MATCH(tbAREAS[[#This Row],[LOCALIDADE]],PRODUTIVIDADES!$A:$A,0)-3)*tbAREAS[[#This Row],[ÁREA EM M²]]</f>
        <v>34.104000000000006</v>
      </c>
      <c r="L1312" s="391"/>
    </row>
    <row r="1313" spans="1:12" hidden="1" x14ac:dyDescent="0.25">
      <c r="A1313" s="228" t="s">
        <v>36</v>
      </c>
      <c r="B1313" s="234" t="s">
        <v>441</v>
      </c>
      <c r="C1313" s="230" t="s">
        <v>462</v>
      </c>
      <c r="D1313" s="230" t="s">
        <v>463</v>
      </c>
      <c r="E1313" s="229" t="s">
        <v>10</v>
      </c>
      <c r="F1313" s="231">
        <v>8.82</v>
      </c>
      <c r="G1313" s="229" t="s">
        <v>1</v>
      </c>
      <c r="H1313" s="405">
        <f ca="1">INDEX(PRODUTIVIDADES!$M:$M,MATCH(tbAREAS[[#This Row],[TIPO DE ÁREA]],PRODUTIVIDADES!$B:$B,0)+MATCH(tbAREAS[[#This Row],[LOCALIDADE]],PRODUTIVIDADES!$A:$A,0)-3)*tbAREAS[[#This Row],[ÁREA EM M²]]</f>
        <v>24.255000000000003</v>
      </c>
      <c r="L1313" s="391"/>
    </row>
    <row r="1314" spans="1:12" hidden="1" x14ac:dyDescent="0.25">
      <c r="A1314" s="228" t="s">
        <v>36</v>
      </c>
      <c r="B1314" s="234" t="s">
        <v>441</v>
      </c>
      <c r="C1314" s="230" t="s">
        <v>462</v>
      </c>
      <c r="D1314" s="230" t="s">
        <v>463</v>
      </c>
      <c r="E1314" s="229" t="s">
        <v>15</v>
      </c>
      <c r="F1314" s="231">
        <v>284.92</v>
      </c>
      <c r="G1314" s="229" t="s">
        <v>1</v>
      </c>
      <c r="H1314" s="405">
        <f ca="1">INDEX(PRODUTIVIDADES!$M:$M,MATCH(tbAREAS[[#This Row],[TIPO DE ÁREA]],PRODUTIVIDADES!$B:$B,0)+MATCH(tbAREAS[[#This Row],[LOCALIDADE]],PRODUTIVIDADES!$A:$A,0)-3)*tbAREAS[[#This Row],[ÁREA EM M²]]</f>
        <v>173.80119999999999</v>
      </c>
      <c r="L1314" s="391"/>
    </row>
    <row r="1315" spans="1:12" hidden="1" x14ac:dyDescent="0.25">
      <c r="A1315" s="228" t="s">
        <v>36</v>
      </c>
      <c r="B1315" s="234" t="s">
        <v>441</v>
      </c>
      <c r="C1315" s="230" t="s">
        <v>462</v>
      </c>
      <c r="D1315" s="230" t="s">
        <v>463</v>
      </c>
      <c r="E1315" s="229" t="s">
        <v>18</v>
      </c>
      <c r="F1315" s="231">
        <v>3.36</v>
      </c>
      <c r="G1315" s="229" t="s">
        <v>1</v>
      </c>
      <c r="H1315" s="405">
        <f ca="1">INDEX(PRODUTIVIDADES!$M:$M,MATCH(tbAREAS[[#This Row],[TIPO DE ÁREA]],PRODUTIVIDADES!$B:$B,0)+MATCH(tbAREAS[[#This Row],[LOCALIDADE]],PRODUTIVIDADES!$A:$A,0)-3)*tbAREAS[[#This Row],[ÁREA EM M²]]</f>
        <v>134.70240000000001</v>
      </c>
      <c r="L1315" s="391"/>
    </row>
    <row r="1316" spans="1:12" hidden="1" x14ac:dyDescent="0.25">
      <c r="A1316" s="228" t="s">
        <v>36</v>
      </c>
      <c r="B1316" s="234" t="s">
        <v>441</v>
      </c>
      <c r="C1316" s="230" t="s">
        <v>462</v>
      </c>
      <c r="D1316" s="230" t="s">
        <v>463</v>
      </c>
      <c r="E1316" s="229" t="s">
        <v>21</v>
      </c>
      <c r="F1316" s="231">
        <v>5.8</v>
      </c>
      <c r="G1316" s="229" t="s">
        <v>1</v>
      </c>
      <c r="H1316" s="405">
        <f ca="1">INDEX(PRODUTIVIDADES!$M:$M,MATCH(tbAREAS[[#This Row],[TIPO DE ÁREA]],PRODUTIVIDADES!$B:$B,0)+MATCH(tbAREAS[[#This Row],[LOCALIDADE]],PRODUTIVIDADES!$A:$A,0)-3)*tbAREAS[[#This Row],[ÁREA EM M²]]</f>
        <v>0.98599999999999999</v>
      </c>
      <c r="L1316" s="391"/>
    </row>
    <row r="1317" spans="1:12" hidden="1" x14ac:dyDescent="0.25">
      <c r="A1317" s="228" t="s">
        <v>36</v>
      </c>
      <c r="B1317" s="234" t="s">
        <v>441</v>
      </c>
      <c r="C1317" s="230" t="s">
        <v>462</v>
      </c>
      <c r="D1317" s="230" t="s">
        <v>463</v>
      </c>
      <c r="E1317" s="229" t="s">
        <v>22</v>
      </c>
      <c r="F1317" s="231">
        <v>5.8</v>
      </c>
      <c r="G1317" s="229" t="s">
        <v>1</v>
      </c>
      <c r="H1317" s="405">
        <f ca="1">INDEX(PRODUTIVIDADES!$M:$M,MATCH(tbAREAS[[#This Row],[TIPO DE ÁREA]],PRODUTIVIDADES!$B:$B,0)+MATCH(tbAREAS[[#This Row],[LOCALIDADE]],PRODUTIVIDADES!$A:$A,0)-3)*tbAREAS[[#This Row],[ÁREA EM M²]]</f>
        <v>2.3199999999999998</v>
      </c>
      <c r="L1317" s="391"/>
    </row>
    <row r="1318" spans="1:12" hidden="1" x14ac:dyDescent="0.25">
      <c r="A1318" s="228" t="s">
        <v>36</v>
      </c>
      <c r="B1318" s="234" t="s">
        <v>441</v>
      </c>
      <c r="C1318" s="230" t="s">
        <v>464</v>
      </c>
      <c r="D1318" s="230" t="s">
        <v>465</v>
      </c>
      <c r="E1318" s="229" t="s">
        <v>10</v>
      </c>
      <c r="F1318" s="231">
        <v>42.91</v>
      </c>
      <c r="G1318" s="229" t="s">
        <v>1</v>
      </c>
      <c r="H1318" s="405">
        <f ca="1">INDEX(PRODUTIVIDADES!$M:$M,MATCH(tbAREAS[[#This Row],[TIPO DE ÁREA]],PRODUTIVIDADES!$B:$B,0)+MATCH(tbAREAS[[#This Row],[LOCALIDADE]],PRODUTIVIDADES!$A:$A,0)-3)*tbAREAS[[#This Row],[ÁREA EM M²]]</f>
        <v>118.0025</v>
      </c>
      <c r="L1318" s="391"/>
    </row>
    <row r="1319" spans="1:12" hidden="1" x14ac:dyDescent="0.25">
      <c r="A1319" s="228" t="s">
        <v>36</v>
      </c>
      <c r="B1319" s="234" t="s">
        <v>441</v>
      </c>
      <c r="C1319" s="230" t="s">
        <v>464</v>
      </c>
      <c r="D1319" s="230" t="s">
        <v>465</v>
      </c>
      <c r="E1319" s="229" t="s">
        <v>14</v>
      </c>
      <c r="F1319" s="231">
        <v>107.81</v>
      </c>
      <c r="G1319" s="229" t="s">
        <v>1</v>
      </c>
      <c r="H1319" s="405">
        <f ca="1">INDEX(PRODUTIVIDADES!$M:$M,MATCH(tbAREAS[[#This Row],[TIPO DE ÁREA]],PRODUTIVIDADES!$B:$B,0)+MATCH(tbAREAS[[#This Row],[LOCALIDADE]],PRODUTIVIDADES!$A:$A,0)-3)*tbAREAS[[#This Row],[ÁREA EM M²]]</f>
        <v>808.57500000000005</v>
      </c>
      <c r="L1319" s="391"/>
    </row>
    <row r="1320" spans="1:12" hidden="1" x14ac:dyDescent="0.25">
      <c r="A1320" s="228" t="s">
        <v>36</v>
      </c>
      <c r="B1320" s="234" t="s">
        <v>441</v>
      </c>
      <c r="C1320" s="230" t="s">
        <v>464</v>
      </c>
      <c r="D1320" s="230" t="s">
        <v>465</v>
      </c>
      <c r="E1320" s="229" t="s">
        <v>17</v>
      </c>
      <c r="F1320" s="231">
        <v>23.94</v>
      </c>
      <c r="G1320" s="229" t="s">
        <v>1</v>
      </c>
      <c r="H1320" s="405">
        <f ca="1">INDEX(PRODUTIVIDADES!$M:$M,MATCH(tbAREAS[[#This Row],[TIPO DE ÁREA]],PRODUTIVIDADES!$B:$B,0)+MATCH(tbAREAS[[#This Row],[LOCALIDADE]],PRODUTIVIDADES!$A:$A,0)-3)*tbAREAS[[#This Row],[ÁREA EM M²]]</f>
        <v>49.316400000000002</v>
      </c>
      <c r="L1320" s="391"/>
    </row>
    <row r="1321" spans="1:12" hidden="1" x14ac:dyDescent="0.25">
      <c r="A1321" s="228" t="s">
        <v>36</v>
      </c>
      <c r="B1321" s="234" t="s">
        <v>441</v>
      </c>
      <c r="C1321" s="230" t="s">
        <v>464</v>
      </c>
      <c r="D1321" s="230" t="s">
        <v>465</v>
      </c>
      <c r="E1321" s="229" t="s">
        <v>18</v>
      </c>
      <c r="F1321" s="231">
        <v>16</v>
      </c>
      <c r="G1321" s="229" t="s">
        <v>1</v>
      </c>
      <c r="H1321" s="405">
        <f ca="1">INDEX(PRODUTIVIDADES!$M:$M,MATCH(tbAREAS[[#This Row],[TIPO DE ÁREA]],PRODUTIVIDADES!$B:$B,0)+MATCH(tbAREAS[[#This Row],[LOCALIDADE]],PRODUTIVIDADES!$A:$A,0)-3)*tbAREAS[[#This Row],[ÁREA EM M²]]</f>
        <v>641.44000000000005</v>
      </c>
      <c r="L1321" s="391"/>
    </row>
    <row r="1322" spans="1:12" hidden="1" x14ac:dyDescent="0.25">
      <c r="A1322" s="228" t="s">
        <v>36</v>
      </c>
      <c r="B1322" s="234" t="s">
        <v>441</v>
      </c>
      <c r="C1322" s="230" t="s">
        <v>464</v>
      </c>
      <c r="D1322" s="230" t="s">
        <v>465</v>
      </c>
      <c r="E1322" s="229" t="s">
        <v>21</v>
      </c>
      <c r="F1322" s="231">
        <v>33.18</v>
      </c>
      <c r="G1322" s="229" t="s">
        <v>1</v>
      </c>
      <c r="H1322" s="405">
        <f ca="1">INDEX(PRODUTIVIDADES!$M:$M,MATCH(tbAREAS[[#This Row],[TIPO DE ÁREA]],PRODUTIVIDADES!$B:$B,0)+MATCH(tbAREAS[[#This Row],[LOCALIDADE]],PRODUTIVIDADES!$A:$A,0)-3)*tbAREAS[[#This Row],[ÁREA EM M²]]</f>
        <v>5.6406000000000001</v>
      </c>
      <c r="L1322" s="391"/>
    </row>
    <row r="1323" spans="1:12" hidden="1" x14ac:dyDescent="0.25">
      <c r="A1323" s="228" t="s">
        <v>36</v>
      </c>
      <c r="B1323" s="234" t="s">
        <v>441</v>
      </c>
      <c r="C1323" s="230" t="s">
        <v>464</v>
      </c>
      <c r="D1323" s="230" t="s">
        <v>465</v>
      </c>
      <c r="E1323" s="229" t="s">
        <v>22</v>
      </c>
      <c r="F1323" s="231">
        <v>33.18</v>
      </c>
      <c r="G1323" s="229" t="s">
        <v>1</v>
      </c>
      <c r="H1323" s="405">
        <f ca="1">INDEX(PRODUTIVIDADES!$M:$M,MATCH(tbAREAS[[#This Row],[TIPO DE ÁREA]],PRODUTIVIDADES!$B:$B,0)+MATCH(tbAREAS[[#This Row],[LOCALIDADE]],PRODUTIVIDADES!$A:$A,0)-3)*tbAREAS[[#This Row],[ÁREA EM M²]]</f>
        <v>13.272</v>
      </c>
      <c r="L1323" s="391"/>
    </row>
    <row r="1324" spans="1:12" hidden="1" x14ac:dyDescent="0.25">
      <c r="A1324" s="228" t="s">
        <v>36</v>
      </c>
      <c r="B1324" s="234" t="s">
        <v>441</v>
      </c>
      <c r="C1324" s="230" t="s">
        <v>466</v>
      </c>
      <c r="D1324" s="230" t="s">
        <v>467</v>
      </c>
      <c r="E1324" s="229" t="s">
        <v>10</v>
      </c>
      <c r="F1324" s="231">
        <v>12.4</v>
      </c>
      <c r="G1324" s="229" t="s">
        <v>1</v>
      </c>
      <c r="H1324" s="405">
        <f ca="1">INDEX(PRODUTIVIDADES!$M:$M,MATCH(tbAREAS[[#This Row],[TIPO DE ÁREA]],PRODUTIVIDADES!$B:$B,0)+MATCH(tbAREAS[[#This Row],[LOCALIDADE]],PRODUTIVIDADES!$A:$A,0)-3)*tbAREAS[[#This Row],[ÁREA EM M²]]</f>
        <v>34.1</v>
      </c>
      <c r="L1324" s="391"/>
    </row>
    <row r="1325" spans="1:12" hidden="1" x14ac:dyDescent="0.25">
      <c r="A1325" s="228" t="s">
        <v>36</v>
      </c>
      <c r="B1325" s="234" t="s">
        <v>441</v>
      </c>
      <c r="C1325" s="230" t="s">
        <v>466</v>
      </c>
      <c r="D1325" s="230" t="s">
        <v>467</v>
      </c>
      <c r="E1325" s="229" t="s">
        <v>14</v>
      </c>
      <c r="F1325" s="231">
        <v>98.33</v>
      </c>
      <c r="G1325" s="229" t="s">
        <v>1</v>
      </c>
      <c r="H1325" s="405">
        <f ca="1">INDEX(PRODUTIVIDADES!$M:$M,MATCH(tbAREAS[[#This Row],[TIPO DE ÁREA]],PRODUTIVIDADES!$B:$B,0)+MATCH(tbAREAS[[#This Row],[LOCALIDADE]],PRODUTIVIDADES!$A:$A,0)-3)*tbAREAS[[#This Row],[ÁREA EM M²]]</f>
        <v>737.47500000000002</v>
      </c>
      <c r="L1325" s="391"/>
    </row>
    <row r="1326" spans="1:12" hidden="1" x14ac:dyDescent="0.25">
      <c r="A1326" s="228" t="s">
        <v>36</v>
      </c>
      <c r="B1326" s="234" t="s">
        <v>441</v>
      </c>
      <c r="C1326" s="230" t="s">
        <v>466</v>
      </c>
      <c r="D1326" s="230" t="s">
        <v>467</v>
      </c>
      <c r="E1326" s="229" t="s">
        <v>18</v>
      </c>
      <c r="F1326" s="231">
        <v>3.75</v>
      </c>
      <c r="G1326" s="229" t="s">
        <v>1</v>
      </c>
      <c r="H1326" s="405">
        <f ca="1">INDEX(PRODUTIVIDADES!$M:$M,MATCH(tbAREAS[[#This Row],[TIPO DE ÁREA]],PRODUTIVIDADES!$B:$B,0)+MATCH(tbAREAS[[#This Row],[LOCALIDADE]],PRODUTIVIDADES!$A:$A,0)-3)*tbAREAS[[#This Row],[ÁREA EM M²]]</f>
        <v>150.33750000000001</v>
      </c>
      <c r="L1326" s="391"/>
    </row>
    <row r="1327" spans="1:12" hidden="1" x14ac:dyDescent="0.25">
      <c r="A1327" s="228" t="s">
        <v>36</v>
      </c>
      <c r="B1327" s="234" t="s">
        <v>441</v>
      </c>
      <c r="C1327" s="230" t="s">
        <v>466</v>
      </c>
      <c r="D1327" s="230" t="s">
        <v>467</v>
      </c>
      <c r="E1327" s="229" t="s">
        <v>21</v>
      </c>
      <c r="F1327" s="231">
        <v>15.82</v>
      </c>
      <c r="G1327" s="229" t="s">
        <v>1</v>
      </c>
      <c r="H1327" s="405">
        <f ca="1">INDEX(PRODUTIVIDADES!$M:$M,MATCH(tbAREAS[[#This Row],[TIPO DE ÁREA]],PRODUTIVIDADES!$B:$B,0)+MATCH(tbAREAS[[#This Row],[LOCALIDADE]],PRODUTIVIDADES!$A:$A,0)-3)*tbAREAS[[#This Row],[ÁREA EM M²]]</f>
        <v>2.6894000000000005</v>
      </c>
      <c r="L1327" s="391"/>
    </row>
    <row r="1328" spans="1:12" hidden="1" x14ac:dyDescent="0.25">
      <c r="A1328" s="228" t="s">
        <v>36</v>
      </c>
      <c r="B1328" s="234" t="s">
        <v>441</v>
      </c>
      <c r="C1328" s="230" t="s">
        <v>466</v>
      </c>
      <c r="D1328" s="230" t="s">
        <v>467</v>
      </c>
      <c r="E1328" s="229" t="s">
        <v>22</v>
      </c>
      <c r="F1328" s="231">
        <v>15.82</v>
      </c>
      <c r="G1328" s="229" t="s">
        <v>1</v>
      </c>
      <c r="H1328" s="405">
        <f ca="1">INDEX(PRODUTIVIDADES!$M:$M,MATCH(tbAREAS[[#This Row],[TIPO DE ÁREA]],PRODUTIVIDADES!$B:$B,0)+MATCH(tbAREAS[[#This Row],[LOCALIDADE]],PRODUTIVIDADES!$A:$A,0)-3)*tbAREAS[[#This Row],[ÁREA EM M²]]</f>
        <v>6.3280000000000003</v>
      </c>
      <c r="L1328" s="391"/>
    </row>
    <row r="1329" spans="1:12" hidden="1" x14ac:dyDescent="0.25">
      <c r="A1329" s="228" t="s">
        <v>36</v>
      </c>
      <c r="B1329" s="234" t="s">
        <v>441</v>
      </c>
      <c r="C1329" s="230" t="s">
        <v>468</v>
      </c>
      <c r="D1329" s="230" t="s">
        <v>469</v>
      </c>
      <c r="E1329" s="229" t="s">
        <v>14</v>
      </c>
      <c r="F1329" s="231">
        <v>106.91</v>
      </c>
      <c r="G1329" s="229" t="s">
        <v>1</v>
      </c>
      <c r="H1329" s="405">
        <f ca="1">INDEX(PRODUTIVIDADES!$M:$M,MATCH(tbAREAS[[#This Row],[TIPO DE ÁREA]],PRODUTIVIDADES!$B:$B,0)+MATCH(tbAREAS[[#This Row],[LOCALIDADE]],PRODUTIVIDADES!$A:$A,0)-3)*tbAREAS[[#This Row],[ÁREA EM M²]]</f>
        <v>801.82499999999993</v>
      </c>
      <c r="L1329" s="391"/>
    </row>
    <row r="1330" spans="1:12" hidden="1" x14ac:dyDescent="0.25">
      <c r="A1330" s="228" t="s">
        <v>36</v>
      </c>
      <c r="B1330" s="234" t="s">
        <v>441</v>
      </c>
      <c r="C1330" s="230" t="s">
        <v>468</v>
      </c>
      <c r="D1330" s="230" t="s">
        <v>469</v>
      </c>
      <c r="E1330" s="229" t="s">
        <v>18</v>
      </c>
      <c r="F1330" s="231">
        <v>5.7</v>
      </c>
      <c r="G1330" s="229" t="s">
        <v>1</v>
      </c>
      <c r="H1330" s="405">
        <f ca="1">INDEX(PRODUTIVIDADES!$M:$M,MATCH(tbAREAS[[#This Row],[TIPO DE ÁREA]],PRODUTIVIDADES!$B:$B,0)+MATCH(tbAREAS[[#This Row],[LOCALIDADE]],PRODUTIVIDADES!$A:$A,0)-3)*tbAREAS[[#This Row],[ÁREA EM M²]]</f>
        <v>228.51300000000003</v>
      </c>
      <c r="L1330" s="391"/>
    </row>
    <row r="1331" spans="1:12" hidden="1" x14ac:dyDescent="0.25">
      <c r="A1331" s="228" t="s">
        <v>36</v>
      </c>
      <c r="B1331" s="234" t="s">
        <v>441</v>
      </c>
      <c r="C1331" s="230" t="s">
        <v>468</v>
      </c>
      <c r="D1331" s="230" t="s">
        <v>469</v>
      </c>
      <c r="E1331" s="229" t="s">
        <v>21</v>
      </c>
      <c r="F1331" s="231">
        <v>23.62</v>
      </c>
      <c r="G1331" s="229" t="s">
        <v>1</v>
      </c>
      <c r="H1331" s="405">
        <f ca="1">INDEX(PRODUTIVIDADES!$M:$M,MATCH(tbAREAS[[#This Row],[TIPO DE ÁREA]],PRODUTIVIDADES!$B:$B,0)+MATCH(tbAREAS[[#This Row],[LOCALIDADE]],PRODUTIVIDADES!$A:$A,0)-3)*tbAREAS[[#This Row],[ÁREA EM M²]]</f>
        <v>4.0154000000000005</v>
      </c>
      <c r="L1331" s="391"/>
    </row>
    <row r="1332" spans="1:12" hidden="1" x14ac:dyDescent="0.25">
      <c r="A1332" s="228" t="s">
        <v>36</v>
      </c>
      <c r="B1332" s="234" t="s">
        <v>441</v>
      </c>
      <c r="C1332" s="230" t="s">
        <v>468</v>
      </c>
      <c r="D1332" s="230" t="s">
        <v>469</v>
      </c>
      <c r="E1332" s="229" t="s">
        <v>22</v>
      </c>
      <c r="F1332" s="231">
        <v>23.62</v>
      </c>
      <c r="G1332" s="229" t="s">
        <v>1</v>
      </c>
      <c r="H1332" s="405">
        <f ca="1">INDEX(PRODUTIVIDADES!$M:$M,MATCH(tbAREAS[[#This Row],[TIPO DE ÁREA]],PRODUTIVIDADES!$B:$B,0)+MATCH(tbAREAS[[#This Row],[LOCALIDADE]],PRODUTIVIDADES!$A:$A,0)-3)*tbAREAS[[#This Row],[ÁREA EM M²]]</f>
        <v>9.4480000000000004</v>
      </c>
      <c r="L1332" s="391"/>
    </row>
    <row r="1333" spans="1:12" hidden="1" x14ac:dyDescent="0.25">
      <c r="A1333" s="228" t="s">
        <v>36</v>
      </c>
      <c r="B1333" s="234" t="s">
        <v>441</v>
      </c>
      <c r="C1333" s="230" t="s">
        <v>470</v>
      </c>
      <c r="D1333" s="230" t="s">
        <v>471</v>
      </c>
      <c r="E1333" s="229" t="s">
        <v>14</v>
      </c>
      <c r="F1333" s="231">
        <v>111.34</v>
      </c>
      <c r="G1333" s="229" t="s">
        <v>1</v>
      </c>
      <c r="H1333" s="405">
        <f ca="1">INDEX(PRODUTIVIDADES!$M:$M,MATCH(tbAREAS[[#This Row],[TIPO DE ÁREA]],PRODUTIVIDADES!$B:$B,0)+MATCH(tbAREAS[[#This Row],[LOCALIDADE]],PRODUTIVIDADES!$A:$A,0)-3)*tbAREAS[[#This Row],[ÁREA EM M²]]</f>
        <v>835.05000000000007</v>
      </c>
      <c r="L1333" s="391"/>
    </row>
    <row r="1334" spans="1:12" hidden="1" x14ac:dyDescent="0.25">
      <c r="A1334" s="228" t="s">
        <v>36</v>
      </c>
      <c r="B1334" s="234" t="s">
        <v>441</v>
      </c>
      <c r="C1334" s="230" t="s">
        <v>470</v>
      </c>
      <c r="D1334" s="230" t="s">
        <v>471</v>
      </c>
      <c r="E1334" s="229" t="s">
        <v>18</v>
      </c>
      <c r="F1334" s="231">
        <v>4.5199999999999996</v>
      </c>
      <c r="G1334" s="229" t="s">
        <v>1</v>
      </c>
      <c r="H1334" s="405">
        <f ca="1">INDEX(PRODUTIVIDADES!$M:$M,MATCH(tbAREAS[[#This Row],[TIPO DE ÁREA]],PRODUTIVIDADES!$B:$B,0)+MATCH(tbAREAS[[#This Row],[LOCALIDADE]],PRODUTIVIDADES!$A:$A,0)-3)*tbAREAS[[#This Row],[ÁREA EM M²]]</f>
        <v>181.20679999999999</v>
      </c>
      <c r="L1334" s="391"/>
    </row>
    <row r="1335" spans="1:12" hidden="1" x14ac:dyDescent="0.25">
      <c r="A1335" s="228" t="s">
        <v>36</v>
      </c>
      <c r="B1335" s="234" t="s">
        <v>441</v>
      </c>
      <c r="C1335" s="230" t="s">
        <v>470</v>
      </c>
      <c r="D1335" s="230" t="s">
        <v>471</v>
      </c>
      <c r="E1335" s="229" t="s">
        <v>21</v>
      </c>
      <c r="F1335" s="231">
        <v>17.14</v>
      </c>
      <c r="G1335" s="229" t="s">
        <v>1</v>
      </c>
      <c r="H1335" s="405">
        <f ca="1">INDEX(PRODUTIVIDADES!$M:$M,MATCH(tbAREAS[[#This Row],[TIPO DE ÁREA]],PRODUTIVIDADES!$B:$B,0)+MATCH(tbAREAS[[#This Row],[LOCALIDADE]],PRODUTIVIDADES!$A:$A,0)-3)*tbAREAS[[#This Row],[ÁREA EM M²]]</f>
        <v>2.9138000000000002</v>
      </c>
      <c r="L1335" s="391"/>
    </row>
    <row r="1336" spans="1:12" hidden="1" x14ac:dyDescent="0.25">
      <c r="A1336" s="228" t="s">
        <v>36</v>
      </c>
      <c r="B1336" s="234" t="s">
        <v>441</v>
      </c>
      <c r="C1336" s="230" t="s">
        <v>470</v>
      </c>
      <c r="D1336" s="230" t="s">
        <v>471</v>
      </c>
      <c r="E1336" s="229" t="s">
        <v>22</v>
      </c>
      <c r="F1336" s="231">
        <v>17.14</v>
      </c>
      <c r="G1336" s="229" t="s">
        <v>1</v>
      </c>
      <c r="H1336" s="405">
        <f ca="1">INDEX(PRODUTIVIDADES!$M:$M,MATCH(tbAREAS[[#This Row],[TIPO DE ÁREA]],PRODUTIVIDADES!$B:$B,0)+MATCH(tbAREAS[[#This Row],[LOCALIDADE]],PRODUTIVIDADES!$A:$A,0)-3)*tbAREAS[[#This Row],[ÁREA EM M²]]</f>
        <v>6.8560000000000008</v>
      </c>
      <c r="L1336" s="391"/>
    </row>
    <row r="1337" spans="1:12" hidden="1" x14ac:dyDescent="0.25">
      <c r="A1337" s="228" t="s">
        <v>36</v>
      </c>
      <c r="B1337" s="234" t="s">
        <v>441</v>
      </c>
      <c r="C1337" s="230" t="s">
        <v>472</v>
      </c>
      <c r="D1337" s="230" t="s">
        <v>425</v>
      </c>
      <c r="E1337" s="229" t="s">
        <v>17</v>
      </c>
      <c r="F1337" s="231">
        <v>180.25</v>
      </c>
      <c r="G1337" s="229" t="s">
        <v>1</v>
      </c>
      <c r="H1337" s="405">
        <f ca="1">INDEX(PRODUTIVIDADES!$M:$M,MATCH(tbAREAS[[#This Row],[TIPO DE ÁREA]],PRODUTIVIDADES!$B:$B,0)+MATCH(tbAREAS[[#This Row],[LOCALIDADE]],PRODUTIVIDADES!$A:$A,0)-3)*tbAREAS[[#This Row],[ÁREA EM M²]]</f>
        <v>371.315</v>
      </c>
      <c r="L1337" s="391"/>
    </row>
    <row r="1338" spans="1:12" hidden="1" x14ac:dyDescent="0.25">
      <c r="A1338" s="228" t="s">
        <v>36</v>
      </c>
      <c r="B1338" s="234" t="s">
        <v>441</v>
      </c>
      <c r="C1338" s="230" t="s">
        <v>472</v>
      </c>
      <c r="D1338" s="230" t="s">
        <v>425</v>
      </c>
      <c r="E1338" s="229" t="s">
        <v>21</v>
      </c>
      <c r="F1338" s="231">
        <v>233.4</v>
      </c>
      <c r="G1338" s="229" t="s">
        <v>1</v>
      </c>
      <c r="H1338" s="405">
        <f ca="1">INDEX(PRODUTIVIDADES!$M:$M,MATCH(tbAREAS[[#This Row],[TIPO DE ÁREA]],PRODUTIVIDADES!$B:$B,0)+MATCH(tbAREAS[[#This Row],[LOCALIDADE]],PRODUTIVIDADES!$A:$A,0)-3)*tbAREAS[[#This Row],[ÁREA EM M²]]</f>
        <v>39.678000000000004</v>
      </c>
      <c r="L1338" s="391"/>
    </row>
    <row r="1339" spans="1:12" hidden="1" x14ac:dyDescent="0.25">
      <c r="A1339" s="228" t="s">
        <v>36</v>
      </c>
      <c r="B1339" s="234" t="s">
        <v>441</v>
      </c>
      <c r="C1339" s="230" t="s">
        <v>472</v>
      </c>
      <c r="D1339" s="230" t="s">
        <v>425</v>
      </c>
      <c r="E1339" s="229" t="s">
        <v>22</v>
      </c>
      <c r="F1339" s="231">
        <v>233.4</v>
      </c>
      <c r="G1339" s="229" t="s">
        <v>1</v>
      </c>
      <c r="H1339" s="405">
        <f ca="1">INDEX(PRODUTIVIDADES!$M:$M,MATCH(tbAREAS[[#This Row],[TIPO DE ÁREA]],PRODUTIVIDADES!$B:$B,0)+MATCH(tbAREAS[[#This Row],[LOCALIDADE]],PRODUTIVIDADES!$A:$A,0)-3)*tbAREAS[[#This Row],[ÁREA EM M²]]</f>
        <v>93.360000000000014</v>
      </c>
      <c r="L1339" s="391"/>
    </row>
    <row r="1340" spans="1:12" hidden="1" x14ac:dyDescent="0.25">
      <c r="A1340" s="228" t="s">
        <v>36</v>
      </c>
      <c r="B1340" s="234" t="s">
        <v>441</v>
      </c>
      <c r="C1340" s="230" t="s">
        <v>473</v>
      </c>
      <c r="D1340" s="230" t="s">
        <v>425</v>
      </c>
      <c r="E1340" s="229" t="s">
        <v>17</v>
      </c>
      <c r="F1340" s="231">
        <v>180.25</v>
      </c>
      <c r="G1340" s="229" t="s">
        <v>1</v>
      </c>
      <c r="H1340" s="405">
        <f ca="1">INDEX(PRODUTIVIDADES!$M:$M,MATCH(tbAREAS[[#This Row],[TIPO DE ÁREA]],PRODUTIVIDADES!$B:$B,0)+MATCH(tbAREAS[[#This Row],[LOCALIDADE]],PRODUTIVIDADES!$A:$A,0)-3)*tbAREAS[[#This Row],[ÁREA EM M²]]</f>
        <v>371.315</v>
      </c>
      <c r="L1340" s="391"/>
    </row>
    <row r="1341" spans="1:12" hidden="1" x14ac:dyDescent="0.25">
      <c r="A1341" s="228" t="s">
        <v>36</v>
      </c>
      <c r="B1341" s="234" t="s">
        <v>441</v>
      </c>
      <c r="C1341" s="230" t="s">
        <v>473</v>
      </c>
      <c r="D1341" s="230" t="s">
        <v>425</v>
      </c>
      <c r="E1341" s="229" t="s">
        <v>21</v>
      </c>
      <c r="F1341" s="231">
        <v>233.4</v>
      </c>
      <c r="G1341" s="229" t="s">
        <v>1</v>
      </c>
      <c r="H1341" s="405">
        <f ca="1">INDEX(PRODUTIVIDADES!$M:$M,MATCH(tbAREAS[[#This Row],[TIPO DE ÁREA]],PRODUTIVIDADES!$B:$B,0)+MATCH(tbAREAS[[#This Row],[LOCALIDADE]],PRODUTIVIDADES!$A:$A,0)-3)*tbAREAS[[#This Row],[ÁREA EM M²]]</f>
        <v>39.678000000000004</v>
      </c>
      <c r="L1341" s="391"/>
    </row>
    <row r="1342" spans="1:12" hidden="1" x14ac:dyDescent="0.25">
      <c r="A1342" s="228" t="s">
        <v>36</v>
      </c>
      <c r="B1342" s="234" t="s">
        <v>441</v>
      </c>
      <c r="C1342" s="230" t="s">
        <v>473</v>
      </c>
      <c r="D1342" s="230" t="s">
        <v>425</v>
      </c>
      <c r="E1342" s="229" t="s">
        <v>22</v>
      </c>
      <c r="F1342" s="231">
        <v>233.4</v>
      </c>
      <c r="G1342" s="229" t="s">
        <v>1</v>
      </c>
      <c r="H1342" s="405">
        <f ca="1">INDEX(PRODUTIVIDADES!$M:$M,MATCH(tbAREAS[[#This Row],[TIPO DE ÁREA]],PRODUTIVIDADES!$B:$B,0)+MATCH(tbAREAS[[#This Row],[LOCALIDADE]],PRODUTIVIDADES!$A:$A,0)-3)*tbAREAS[[#This Row],[ÁREA EM M²]]</f>
        <v>93.360000000000014</v>
      </c>
      <c r="L1342" s="391"/>
    </row>
    <row r="1343" spans="1:12" hidden="1" x14ac:dyDescent="0.25">
      <c r="A1343" s="228" t="s">
        <v>36</v>
      </c>
      <c r="B1343" s="234" t="s">
        <v>441</v>
      </c>
      <c r="C1343" s="230" t="s">
        <v>474</v>
      </c>
      <c r="D1343" s="230" t="s">
        <v>475</v>
      </c>
      <c r="E1343" s="229" t="s">
        <v>17</v>
      </c>
      <c r="F1343" s="231">
        <v>134</v>
      </c>
      <c r="G1343" s="229" t="s">
        <v>1</v>
      </c>
      <c r="H1343" s="405">
        <f ca="1">INDEX(PRODUTIVIDADES!$M:$M,MATCH(tbAREAS[[#This Row],[TIPO DE ÁREA]],PRODUTIVIDADES!$B:$B,0)+MATCH(tbAREAS[[#This Row],[LOCALIDADE]],PRODUTIVIDADES!$A:$A,0)-3)*tbAREAS[[#This Row],[ÁREA EM M²]]</f>
        <v>276.04000000000002</v>
      </c>
      <c r="L1343" s="391"/>
    </row>
    <row r="1344" spans="1:12" hidden="1" x14ac:dyDescent="0.25">
      <c r="A1344" s="228" t="s">
        <v>36</v>
      </c>
      <c r="B1344" s="234" t="s">
        <v>441</v>
      </c>
      <c r="C1344" s="230" t="s">
        <v>474</v>
      </c>
      <c r="D1344" s="230" t="s">
        <v>475</v>
      </c>
      <c r="E1344" s="229" t="s">
        <v>18</v>
      </c>
      <c r="F1344" s="231">
        <v>5.9</v>
      </c>
      <c r="G1344" s="229" t="s">
        <v>1</v>
      </c>
      <c r="H1344" s="405">
        <f ca="1">INDEX(PRODUTIVIDADES!$M:$M,MATCH(tbAREAS[[#This Row],[TIPO DE ÁREA]],PRODUTIVIDADES!$B:$B,0)+MATCH(tbAREAS[[#This Row],[LOCALIDADE]],PRODUTIVIDADES!$A:$A,0)-3)*tbAREAS[[#This Row],[ÁREA EM M²]]</f>
        <v>236.53100000000003</v>
      </c>
      <c r="L1344" s="391"/>
    </row>
    <row r="1345" spans="1:12" hidden="1" x14ac:dyDescent="0.25">
      <c r="A1345" s="228" t="s">
        <v>36</v>
      </c>
      <c r="B1345" s="234" t="s">
        <v>441</v>
      </c>
      <c r="C1345" s="230" t="s">
        <v>474</v>
      </c>
      <c r="D1345" s="230" t="s">
        <v>475</v>
      </c>
      <c r="E1345" s="229" t="s">
        <v>20</v>
      </c>
      <c r="F1345" s="231">
        <v>50</v>
      </c>
      <c r="G1345" s="229" t="s">
        <v>1</v>
      </c>
      <c r="H1345" s="405">
        <f ca="1">INDEX(PRODUTIVIDADES!$M:$M,MATCH(tbAREAS[[#This Row],[TIPO DE ÁREA]],PRODUTIVIDADES!$B:$B,0)+MATCH(tbAREAS[[#This Row],[LOCALIDADE]],PRODUTIVIDADES!$A:$A,0)-3)*tbAREAS[[#This Row],[ÁREA EM M²]]</f>
        <v>34</v>
      </c>
      <c r="L1345" s="391"/>
    </row>
    <row r="1346" spans="1:12" hidden="1" x14ac:dyDescent="0.25">
      <c r="A1346" s="228" t="s">
        <v>36</v>
      </c>
      <c r="B1346" s="234" t="s">
        <v>441</v>
      </c>
      <c r="C1346" s="230" t="s">
        <v>474</v>
      </c>
      <c r="D1346" s="230" t="s">
        <v>475</v>
      </c>
      <c r="E1346" s="229" t="s">
        <v>21</v>
      </c>
      <c r="F1346" s="231">
        <v>32.31</v>
      </c>
      <c r="G1346" s="229" t="s">
        <v>1</v>
      </c>
      <c r="H1346" s="405">
        <f ca="1">INDEX(PRODUTIVIDADES!$M:$M,MATCH(tbAREAS[[#This Row],[TIPO DE ÁREA]],PRODUTIVIDADES!$B:$B,0)+MATCH(tbAREAS[[#This Row],[LOCALIDADE]],PRODUTIVIDADES!$A:$A,0)-3)*tbAREAS[[#This Row],[ÁREA EM M²]]</f>
        <v>5.492700000000001</v>
      </c>
      <c r="L1346" s="391"/>
    </row>
    <row r="1347" spans="1:12" hidden="1" x14ac:dyDescent="0.25">
      <c r="A1347" s="228" t="s">
        <v>36</v>
      </c>
      <c r="B1347" s="234" t="s">
        <v>441</v>
      </c>
      <c r="C1347" s="230" t="s">
        <v>474</v>
      </c>
      <c r="D1347" s="230" t="s">
        <v>475</v>
      </c>
      <c r="E1347" s="229" t="s">
        <v>22</v>
      </c>
      <c r="F1347" s="231">
        <v>32.31</v>
      </c>
      <c r="G1347" s="229" t="s">
        <v>1</v>
      </c>
      <c r="H1347" s="405">
        <f ca="1">INDEX(PRODUTIVIDADES!$M:$M,MATCH(tbAREAS[[#This Row],[TIPO DE ÁREA]],PRODUTIVIDADES!$B:$B,0)+MATCH(tbAREAS[[#This Row],[LOCALIDADE]],PRODUTIVIDADES!$A:$A,0)-3)*tbAREAS[[#This Row],[ÁREA EM M²]]</f>
        <v>12.924000000000001</v>
      </c>
      <c r="L1347" s="391"/>
    </row>
    <row r="1348" spans="1:12" hidden="1" x14ac:dyDescent="0.25">
      <c r="A1348" s="228" t="s">
        <v>36</v>
      </c>
      <c r="B1348" s="234" t="s">
        <v>441</v>
      </c>
      <c r="C1348" s="230" t="s">
        <v>476</v>
      </c>
      <c r="D1348" s="230" t="s">
        <v>477</v>
      </c>
      <c r="E1348" s="229" t="s">
        <v>10</v>
      </c>
      <c r="F1348" s="231">
        <v>49.86</v>
      </c>
      <c r="G1348" s="229" t="s">
        <v>1</v>
      </c>
      <c r="H1348" s="405">
        <f ca="1">INDEX(PRODUTIVIDADES!$M:$M,MATCH(tbAREAS[[#This Row],[TIPO DE ÁREA]],PRODUTIVIDADES!$B:$B,0)+MATCH(tbAREAS[[#This Row],[LOCALIDADE]],PRODUTIVIDADES!$A:$A,0)-3)*tbAREAS[[#This Row],[ÁREA EM M²]]</f>
        <v>137.11500000000001</v>
      </c>
      <c r="L1348" s="391"/>
    </row>
    <row r="1349" spans="1:12" hidden="1" x14ac:dyDescent="0.25">
      <c r="A1349" s="228" t="s">
        <v>36</v>
      </c>
      <c r="B1349" s="234" t="s">
        <v>441</v>
      </c>
      <c r="C1349" s="230" t="s">
        <v>476</v>
      </c>
      <c r="D1349" s="230" t="s">
        <v>477</v>
      </c>
      <c r="E1349" s="229" t="s">
        <v>15</v>
      </c>
      <c r="F1349" s="231">
        <v>114.54</v>
      </c>
      <c r="G1349" s="229" t="s">
        <v>1</v>
      </c>
      <c r="H1349" s="405">
        <f ca="1">INDEX(PRODUTIVIDADES!$M:$M,MATCH(tbAREAS[[#This Row],[TIPO DE ÁREA]],PRODUTIVIDADES!$B:$B,0)+MATCH(tbAREAS[[#This Row],[LOCALIDADE]],PRODUTIVIDADES!$A:$A,0)-3)*tbAREAS[[#This Row],[ÁREA EM M²]]</f>
        <v>69.869399999999999</v>
      </c>
      <c r="L1349" s="391"/>
    </row>
    <row r="1350" spans="1:12" hidden="1" x14ac:dyDescent="0.25">
      <c r="A1350" s="228" t="s">
        <v>36</v>
      </c>
      <c r="B1350" s="234" t="s">
        <v>441</v>
      </c>
      <c r="C1350" s="230" t="s">
        <v>476</v>
      </c>
      <c r="D1350" s="230" t="s">
        <v>477</v>
      </c>
      <c r="E1350" s="229" t="s">
        <v>17</v>
      </c>
      <c r="F1350" s="231">
        <v>77.38</v>
      </c>
      <c r="G1350" s="229" t="s">
        <v>1</v>
      </c>
      <c r="H1350" s="405">
        <f ca="1">INDEX(PRODUTIVIDADES!$M:$M,MATCH(tbAREAS[[#This Row],[TIPO DE ÁREA]],PRODUTIVIDADES!$B:$B,0)+MATCH(tbAREAS[[#This Row],[LOCALIDADE]],PRODUTIVIDADES!$A:$A,0)-3)*tbAREAS[[#This Row],[ÁREA EM M²]]</f>
        <v>159.40279999999998</v>
      </c>
      <c r="L1350" s="391"/>
    </row>
    <row r="1351" spans="1:12" hidden="1" x14ac:dyDescent="0.25">
      <c r="A1351" s="228" t="s">
        <v>36</v>
      </c>
      <c r="B1351" s="234" t="s">
        <v>441</v>
      </c>
      <c r="C1351" s="230" t="s">
        <v>476</v>
      </c>
      <c r="D1351" s="230" t="s">
        <v>477</v>
      </c>
      <c r="E1351" s="229" t="s">
        <v>18</v>
      </c>
      <c r="F1351" s="231">
        <v>4.95</v>
      </c>
      <c r="G1351" s="229" t="s">
        <v>1</v>
      </c>
      <c r="H1351" s="405">
        <f ca="1">INDEX(PRODUTIVIDADES!$M:$M,MATCH(tbAREAS[[#This Row],[TIPO DE ÁREA]],PRODUTIVIDADES!$B:$B,0)+MATCH(tbAREAS[[#This Row],[LOCALIDADE]],PRODUTIVIDADES!$A:$A,0)-3)*tbAREAS[[#This Row],[ÁREA EM M²]]</f>
        <v>198.44550000000004</v>
      </c>
      <c r="L1351" s="391"/>
    </row>
    <row r="1352" spans="1:12" hidden="1" x14ac:dyDescent="0.25">
      <c r="A1352" s="228" t="s">
        <v>36</v>
      </c>
      <c r="B1352" s="234" t="s">
        <v>441</v>
      </c>
      <c r="C1352" s="230" t="s">
        <v>476</v>
      </c>
      <c r="D1352" s="230" t="s">
        <v>477</v>
      </c>
      <c r="E1352" s="229" t="s">
        <v>21</v>
      </c>
      <c r="F1352" s="231">
        <v>21.1</v>
      </c>
      <c r="G1352" s="229" t="s">
        <v>1</v>
      </c>
      <c r="H1352" s="405">
        <f ca="1">INDEX(PRODUTIVIDADES!$M:$M,MATCH(tbAREAS[[#This Row],[TIPO DE ÁREA]],PRODUTIVIDADES!$B:$B,0)+MATCH(tbAREAS[[#This Row],[LOCALIDADE]],PRODUTIVIDADES!$A:$A,0)-3)*tbAREAS[[#This Row],[ÁREA EM M²]]</f>
        <v>3.5870000000000006</v>
      </c>
      <c r="L1352" s="391"/>
    </row>
    <row r="1353" spans="1:12" hidden="1" x14ac:dyDescent="0.25">
      <c r="A1353" s="228" t="s">
        <v>36</v>
      </c>
      <c r="B1353" s="234" t="s">
        <v>441</v>
      </c>
      <c r="C1353" s="230" t="s">
        <v>476</v>
      </c>
      <c r="D1353" s="230" t="s">
        <v>477</v>
      </c>
      <c r="E1353" s="229" t="s">
        <v>22</v>
      </c>
      <c r="F1353" s="231">
        <v>21.1</v>
      </c>
      <c r="G1353" s="229" t="s">
        <v>1</v>
      </c>
      <c r="H1353" s="405">
        <f ca="1">INDEX(PRODUTIVIDADES!$M:$M,MATCH(tbAREAS[[#This Row],[TIPO DE ÁREA]],PRODUTIVIDADES!$B:$B,0)+MATCH(tbAREAS[[#This Row],[LOCALIDADE]],PRODUTIVIDADES!$A:$A,0)-3)*tbAREAS[[#This Row],[ÁREA EM M²]]</f>
        <v>8.4400000000000013</v>
      </c>
      <c r="L1353" s="391"/>
    </row>
    <row r="1354" spans="1:12" hidden="1" x14ac:dyDescent="0.25">
      <c r="A1354" s="228" t="s">
        <v>36</v>
      </c>
      <c r="B1354" s="234" t="s">
        <v>441</v>
      </c>
      <c r="C1354" s="230" t="s">
        <v>478</v>
      </c>
      <c r="D1354" s="230" t="s">
        <v>479</v>
      </c>
      <c r="E1354" s="229" t="s">
        <v>10</v>
      </c>
      <c r="F1354" s="231">
        <v>10.5</v>
      </c>
      <c r="G1354" s="229" t="s">
        <v>1</v>
      </c>
      <c r="H1354" s="405">
        <f ca="1">INDEX(PRODUTIVIDADES!$M:$M,MATCH(tbAREAS[[#This Row],[TIPO DE ÁREA]],PRODUTIVIDADES!$B:$B,0)+MATCH(tbAREAS[[#This Row],[LOCALIDADE]],PRODUTIVIDADES!$A:$A,0)-3)*tbAREAS[[#This Row],[ÁREA EM M²]]</f>
        <v>28.875</v>
      </c>
      <c r="L1354" s="391"/>
    </row>
    <row r="1355" spans="1:12" hidden="1" x14ac:dyDescent="0.25">
      <c r="A1355" s="228" t="s">
        <v>36</v>
      </c>
      <c r="B1355" s="234" t="s">
        <v>441</v>
      </c>
      <c r="C1355" s="230" t="s">
        <v>478</v>
      </c>
      <c r="D1355" s="230" t="s">
        <v>479</v>
      </c>
      <c r="E1355" s="229" t="s">
        <v>14</v>
      </c>
      <c r="F1355" s="231">
        <v>42.3</v>
      </c>
      <c r="G1355" s="229" t="s">
        <v>1</v>
      </c>
      <c r="H1355" s="405">
        <f ca="1">INDEX(PRODUTIVIDADES!$M:$M,MATCH(tbAREAS[[#This Row],[TIPO DE ÁREA]],PRODUTIVIDADES!$B:$B,0)+MATCH(tbAREAS[[#This Row],[LOCALIDADE]],PRODUTIVIDADES!$A:$A,0)-3)*tbAREAS[[#This Row],[ÁREA EM M²]]</f>
        <v>317.25</v>
      </c>
      <c r="L1355" s="391"/>
    </row>
    <row r="1356" spans="1:12" hidden="1" x14ac:dyDescent="0.25">
      <c r="A1356" s="228" t="s">
        <v>36</v>
      </c>
      <c r="B1356" s="234" t="s">
        <v>441</v>
      </c>
      <c r="C1356" s="230" t="s">
        <v>478</v>
      </c>
      <c r="D1356" s="230" t="s">
        <v>479</v>
      </c>
      <c r="E1356" s="229" t="s">
        <v>15</v>
      </c>
      <c r="F1356" s="231">
        <v>105.95</v>
      </c>
      <c r="G1356" s="229" t="s">
        <v>1</v>
      </c>
      <c r="H1356" s="405">
        <f ca="1">INDEX(PRODUTIVIDADES!$M:$M,MATCH(tbAREAS[[#This Row],[TIPO DE ÁREA]],PRODUTIVIDADES!$B:$B,0)+MATCH(tbAREAS[[#This Row],[LOCALIDADE]],PRODUTIVIDADES!$A:$A,0)-3)*tbAREAS[[#This Row],[ÁREA EM M²]]</f>
        <v>64.629500000000007</v>
      </c>
      <c r="L1356" s="391"/>
    </row>
    <row r="1357" spans="1:12" hidden="1" x14ac:dyDescent="0.25">
      <c r="A1357" s="228" t="s">
        <v>36</v>
      </c>
      <c r="B1357" s="234" t="s">
        <v>441</v>
      </c>
      <c r="C1357" s="230" t="s">
        <v>478</v>
      </c>
      <c r="D1357" s="230" t="s">
        <v>479</v>
      </c>
      <c r="E1357" s="229" t="s">
        <v>17</v>
      </c>
      <c r="F1357" s="231">
        <v>37.6</v>
      </c>
      <c r="G1357" s="229" t="s">
        <v>1</v>
      </c>
      <c r="H1357" s="405">
        <f ca="1">INDEX(PRODUTIVIDADES!$M:$M,MATCH(tbAREAS[[#This Row],[TIPO DE ÁREA]],PRODUTIVIDADES!$B:$B,0)+MATCH(tbAREAS[[#This Row],[LOCALIDADE]],PRODUTIVIDADES!$A:$A,0)-3)*tbAREAS[[#This Row],[ÁREA EM M²]]</f>
        <v>77.456000000000003</v>
      </c>
      <c r="L1357" s="391"/>
    </row>
    <row r="1358" spans="1:12" hidden="1" x14ac:dyDescent="0.25">
      <c r="A1358" s="228" t="s">
        <v>36</v>
      </c>
      <c r="B1358" s="234" t="s">
        <v>441</v>
      </c>
      <c r="C1358" s="230" t="s">
        <v>478</v>
      </c>
      <c r="D1358" s="230" t="s">
        <v>479</v>
      </c>
      <c r="E1358" s="229" t="s">
        <v>18</v>
      </c>
      <c r="F1358" s="231">
        <v>22.1</v>
      </c>
      <c r="G1358" s="229" t="s">
        <v>1</v>
      </c>
      <c r="H1358" s="405">
        <f ca="1">INDEX(PRODUTIVIDADES!$M:$M,MATCH(tbAREAS[[#This Row],[TIPO DE ÁREA]],PRODUTIVIDADES!$B:$B,0)+MATCH(tbAREAS[[#This Row],[LOCALIDADE]],PRODUTIVIDADES!$A:$A,0)-3)*tbAREAS[[#This Row],[ÁREA EM M²]]</f>
        <v>885.98900000000015</v>
      </c>
      <c r="L1358" s="391"/>
    </row>
    <row r="1359" spans="1:12" hidden="1" x14ac:dyDescent="0.25">
      <c r="A1359" s="228" t="s">
        <v>36</v>
      </c>
      <c r="B1359" s="234" t="s">
        <v>441</v>
      </c>
      <c r="C1359" s="230" t="s">
        <v>478</v>
      </c>
      <c r="D1359" s="230" t="s">
        <v>479</v>
      </c>
      <c r="E1359" s="229" t="s">
        <v>20</v>
      </c>
      <c r="F1359" s="231">
        <v>30</v>
      </c>
      <c r="G1359" s="229" t="s">
        <v>1</v>
      </c>
      <c r="H1359" s="405">
        <f ca="1">INDEX(PRODUTIVIDADES!$M:$M,MATCH(tbAREAS[[#This Row],[TIPO DE ÁREA]],PRODUTIVIDADES!$B:$B,0)+MATCH(tbAREAS[[#This Row],[LOCALIDADE]],PRODUTIVIDADES!$A:$A,0)-3)*tbAREAS[[#This Row],[ÁREA EM M²]]</f>
        <v>20.400000000000002</v>
      </c>
      <c r="L1359" s="391"/>
    </row>
    <row r="1360" spans="1:12" hidden="1" x14ac:dyDescent="0.25">
      <c r="A1360" s="228" t="s">
        <v>36</v>
      </c>
      <c r="B1360" s="234" t="s">
        <v>441</v>
      </c>
      <c r="C1360" s="230" t="s">
        <v>478</v>
      </c>
      <c r="D1360" s="230" t="s">
        <v>479</v>
      </c>
      <c r="E1360" s="229" t="s">
        <v>21</v>
      </c>
      <c r="F1360" s="231">
        <v>36.409999999999997</v>
      </c>
      <c r="G1360" s="229" t="s">
        <v>1</v>
      </c>
      <c r="H1360" s="405">
        <f ca="1">INDEX(PRODUTIVIDADES!$M:$M,MATCH(tbAREAS[[#This Row],[TIPO DE ÁREA]],PRODUTIVIDADES!$B:$B,0)+MATCH(tbAREAS[[#This Row],[LOCALIDADE]],PRODUTIVIDADES!$A:$A,0)-3)*tbAREAS[[#This Row],[ÁREA EM M²]]</f>
        <v>6.1897000000000002</v>
      </c>
      <c r="L1360" s="391"/>
    </row>
    <row r="1361" spans="1:12" hidden="1" x14ac:dyDescent="0.25">
      <c r="A1361" s="228" t="s">
        <v>36</v>
      </c>
      <c r="B1361" s="234" t="s">
        <v>441</v>
      </c>
      <c r="C1361" s="230" t="s">
        <v>478</v>
      </c>
      <c r="D1361" s="230" t="s">
        <v>479</v>
      </c>
      <c r="E1361" s="229" t="s">
        <v>22</v>
      </c>
      <c r="F1361" s="231">
        <v>36.409999999999997</v>
      </c>
      <c r="G1361" s="229" t="s">
        <v>1</v>
      </c>
      <c r="H1361" s="405">
        <f ca="1">INDEX(PRODUTIVIDADES!$M:$M,MATCH(tbAREAS[[#This Row],[TIPO DE ÁREA]],PRODUTIVIDADES!$B:$B,0)+MATCH(tbAREAS[[#This Row],[LOCALIDADE]],PRODUTIVIDADES!$A:$A,0)-3)*tbAREAS[[#This Row],[ÁREA EM M²]]</f>
        <v>14.564</v>
      </c>
      <c r="L1361" s="391"/>
    </row>
    <row r="1362" spans="1:12" hidden="1" x14ac:dyDescent="0.25">
      <c r="A1362" s="228" t="s">
        <v>36</v>
      </c>
      <c r="B1362" s="234" t="s">
        <v>441</v>
      </c>
      <c r="C1362" s="230" t="s">
        <v>439</v>
      </c>
      <c r="D1362" s="230" t="s">
        <v>480</v>
      </c>
      <c r="E1362" s="229" t="s">
        <v>10</v>
      </c>
      <c r="F1362" s="231">
        <v>9</v>
      </c>
      <c r="G1362" s="229" t="s">
        <v>1</v>
      </c>
      <c r="H1362" s="405">
        <f ca="1">INDEX(PRODUTIVIDADES!$M:$M,MATCH(tbAREAS[[#This Row],[TIPO DE ÁREA]],PRODUTIVIDADES!$B:$B,0)+MATCH(tbAREAS[[#This Row],[LOCALIDADE]],PRODUTIVIDADES!$A:$A,0)-3)*tbAREAS[[#This Row],[ÁREA EM M²]]</f>
        <v>24.75</v>
      </c>
      <c r="L1362" s="391"/>
    </row>
    <row r="1363" spans="1:12" hidden="1" x14ac:dyDescent="0.25">
      <c r="A1363" s="228" t="s">
        <v>36</v>
      </c>
      <c r="B1363" s="234" t="s">
        <v>441</v>
      </c>
      <c r="C1363" s="230" t="s">
        <v>439</v>
      </c>
      <c r="D1363" s="230" t="s">
        <v>480</v>
      </c>
      <c r="E1363" s="229" t="s">
        <v>18</v>
      </c>
      <c r="F1363" s="231">
        <v>2.1</v>
      </c>
      <c r="G1363" s="229" t="s">
        <v>1</v>
      </c>
      <c r="H1363" s="405">
        <f ca="1">INDEX(PRODUTIVIDADES!$M:$M,MATCH(tbAREAS[[#This Row],[TIPO DE ÁREA]],PRODUTIVIDADES!$B:$B,0)+MATCH(tbAREAS[[#This Row],[LOCALIDADE]],PRODUTIVIDADES!$A:$A,0)-3)*tbAREAS[[#This Row],[ÁREA EM M²]]</f>
        <v>84.189000000000007</v>
      </c>
      <c r="L1363" s="391"/>
    </row>
    <row r="1364" spans="1:12" hidden="1" x14ac:dyDescent="0.25">
      <c r="A1364" s="228" t="s">
        <v>36</v>
      </c>
      <c r="B1364" s="234" t="s">
        <v>441</v>
      </c>
      <c r="C1364" s="230" t="s">
        <v>439</v>
      </c>
      <c r="D1364" s="230" t="s">
        <v>480</v>
      </c>
      <c r="E1364" s="229" t="s">
        <v>21</v>
      </c>
      <c r="F1364" s="231">
        <v>18.8</v>
      </c>
      <c r="G1364" s="229" t="s">
        <v>1</v>
      </c>
      <c r="H1364" s="405">
        <f ca="1">INDEX(PRODUTIVIDADES!$M:$M,MATCH(tbAREAS[[#This Row],[TIPO DE ÁREA]],PRODUTIVIDADES!$B:$B,0)+MATCH(tbAREAS[[#This Row],[LOCALIDADE]],PRODUTIVIDADES!$A:$A,0)-3)*tbAREAS[[#This Row],[ÁREA EM M²]]</f>
        <v>3.1960000000000002</v>
      </c>
      <c r="L1364" s="391"/>
    </row>
    <row r="1365" spans="1:12" hidden="1" x14ac:dyDescent="0.25">
      <c r="A1365" s="228" t="s">
        <v>36</v>
      </c>
      <c r="B1365" s="234" t="s">
        <v>441</v>
      </c>
      <c r="C1365" s="230" t="s">
        <v>439</v>
      </c>
      <c r="D1365" s="230" t="s">
        <v>480</v>
      </c>
      <c r="E1365" s="229" t="s">
        <v>22</v>
      </c>
      <c r="F1365" s="231">
        <v>18.8</v>
      </c>
      <c r="G1365" s="229" t="s">
        <v>1</v>
      </c>
      <c r="H1365" s="405">
        <f ca="1">INDEX(PRODUTIVIDADES!$M:$M,MATCH(tbAREAS[[#This Row],[TIPO DE ÁREA]],PRODUTIVIDADES!$B:$B,0)+MATCH(tbAREAS[[#This Row],[LOCALIDADE]],PRODUTIVIDADES!$A:$A,0)-3)*tbAREAS[[#This Row],[ÁREA EM M²]]</f>
        <v>7.5200000000000005</v>
      </c>
      <c r="L1365" s="391"/>
    </row>
    <row r="1366" spans="1:12" hidden="1" x14ac:dyDescent="0.25">
      <c r="A1366" s="228" t="s">
        <v>36</v>
      </c>
      <c r="B1366" s="234" t="s">
        <v>441</v>
      </c>
      <c r="C1366" s="230" t="s">
        <v>481</v>
      </c>
      <c r="D1366" s="230" t="s">
        <v>482</v>
      </c>
      <c r="E1366" s="229" t="s">
        <v>10</v>
      </c>
      <c r="F1366" s="231">
        <v>432.11</v>
      </c>
      <c r="G1366" s="229" t="s">
        <v>1</v>
      </c>
      <c r="H1366" s="405">
        <f ca="1">INDEX(PRODUTIVIDADES!$M:$M,MATCH(tbAREAS[[#This Row],[TIPO DE ÁREA]],PRODUTIVIDADES!$B:$B,0)+MATCH(tbAREAS[[#This Row],[LOCALIDADE]],PRODUTIVIDADES!$A:$A,0)-3)*tbAREAS[[#This Row],[ÁREA EM M²]]</f>
        <v>1188.3025</v>
      </c>
      <c r="L1366" s="391"/>
    </row>
    <row r="1367" spans="1:12" hidden="1" x14ac:dyDescent="0.25">
      <c r="A1367" s="228" t="s">
        <v>36</v>
      </c>
      <c r="B1367" s="234" t="s">
        <v>441</v>
      </c>
      <c r="C1367" s="230" t="s">
        <v>481</v>
      </c>
      <c r="D1367" s="230" t="s">
        <v>482</v>
      </c>
      <c r="E1367" s="229" t="s">
        <v>15</v>
      </c>
      <c r="F1367" s="231">
        <v>6.75</v>
      </c>
      <c r="G1367" s="229" t="s">
        <v>1</v>
      </c>
      <c r="H1367" s="405">
        <f ca="1">INDEX(PRODUTIVIDADES!$M:$M,MATCH(tbAREAS[[#This Row],[TIPO DE ÁREA]],PRODUTIVIDADES!$B:$B,0)+MATCH(tbAREAS[[#This Row],[LOCALIDADE]],PRODUTIVIDADES!$A:$A,0)-3)*tbAREAS[[#This Row],[ÁREA EM M²]]</f>
        <v>4.1174999999999997</v>
      </c>
      <c r="L1367" s="391"/>
    </row>
    <row r="1368" spans="1:12" hidden="1" x14ac:dyDescent="0.25">
      <c r="A1368" s="228" t="s">
        <v>36</v>
      </c>
      <c r="B1368" s="234" t="s">
        <v>441</v>
      </c>
      <c r="C1368" s="230" t="s">
        <v>481</v>
      </c>
      <c r="D1368" s="230" t="s">
        <v>482</v>
      </c>
      <c r="E1368" s="229" t="s">
        <v>17</v>
      </c>
      <c r="F1368" s="231">
        <v>131.37</v>
      </c>
      <c r="G1368" s="229" t="s">
        <v>1</v>
      </c>
      <c r="H1368" s="405">
        <f ca="1">INDEX(PRODUTIVIDADES!$M:$M,MATCH(tbAREAS[[#This Row],[TIPO DE ÁREA]],PRODUTIVIDADES!$B:$B,0)+MATCH(tbAREAS[[#This Row],[LOCALIDADE]],PRODUTIVIDADES!$A:$A,0)-3)*tbAREAS[[#This Row],[ÁREA EM M²]]</f>
        <v>270.62220000000002</v>
      </c>
      <c r="L1368" s="391"/>
    </row>
    <row r="1369" spans="1:12" hidden="1" x14ac:dyDescent="0.25">
      <c r="A1369" s="228" t="s">
        <v>36</v>
      </c>
      <c r="B1369" s="234" t="s">
        <v>441</v>
      </c>
      <c r="C1369" s="230" t="s">
        <v>481</v>
      </c>
      <c r="D1369" s="230" t="s">
        <v>482</v>
      </c>
      <c r="E1369" s="229" t="s">
        <v>18</v>
      </c>
      <c r="F1369" s="231">
        <v>22.07</v>
      </c>
      <c r="G1369" s="229" t="s">
        <v>1</v>
      </c>
      <c r="H1369" s="405">
        <f ca="1">INDEX(PRODUTIVIDADES!$M:$M,MATCH(tbAREAS[[#This Row],[TIPO DE ÁREA]],PRODUTIVIDADES!$B:$B,0)+MATCH(tbAREAS[[#This Row],[LOCALIDADE]],PRODUTIVIDADES!$A:$A,0)-3)*tbAREAS[[#This Row],[ÁREA EM M²]]</f>
        <v>884.7863000000001</v>
      </c>
      <c r="L1369" s="391"/>
    </row>
    <row r="1370" spans="1:12" hidden="1" x14ac:dyDescent="0.25">
      <c r="A1370" s="228" t="s">
        <v>36</v>
      </c>
      <c r="B1370" s="234" t="s">
        <v>441</v>
      </c>
      <c r="C1370" s="230" t="s">
        <v>481</v>
      </c>
      <c r="D1370" s="230" t="s">
        <v>482</v>
      </c>
      <c r="E1370" s="229" t="s">
        <v>20</v>
      </c>
      <c r="F1370" s="231">
        <v>150.85</v>
      </c>
      <c r="G1370" s="229" t="s">
        <v>1</v>
      </c>
      <c r="H1370" s="405">
        <f ca="1">INDEX(PRODUTIVIDADES!$M:$M,MATCH(tbAREAS[[#This Row],[TIPO DE ÁREA]],PRODUTIVIDADES!$B:$B,0)+MATCH(tbAREAS[[#This Row],[LOCALIDADE]],PRODUTIVIDADES!$A:$A,0)-3)*tbAREAS[[#This Row],[ÁREA EM M²]]</f>
        <v>102.578</v>
      </c>
      <c r="L1370" s="391"/>
    </row>
    <row r="1371" spans="1:12" hidden="1" x14ac:dyDescent="0.25">
      <c r="A1371" s="228" t="s">
        <v>36</v>
      </c>
      <c r="B1371" s="234" t="s">
        <v>441</v>
      </c>
      <c r="C1371" s="230" t="s">
        <v>481</v>
      </c>
      <c r="D1371" s="230" t="s">
        <v>482</v>
      </c>
      <c r="E1371" s="229" t="s">
        <v>21</v>
      </c>
      <c r="F1371" s="231">
        <v>93.78</v>
      </c>
      <c r="G1371" s="229" t="s">
        <v>1</v>
      </c>
      <c r="H1371" s="405">
        <f ca="1">INDEX(PRODUTIVIDADES!$M:$M,MATCH(tbAREAS[[#This Row],[TIPO DE ÁREA]],PRODUTIVIDADES!$B:$B,0)+MATCH(tbAREAS[[#This Row],[LOCALIDADE]],PRODUTIVIDADES!$A:$A,0)-3)*tbAREAS[[#This Row],[ÁREA EM M²]]</f>
        <v>15.942600000000001</v>
      </c>
      <c r="L1371" s="391"/>
    </row>
    <row r="1372" spans="1:12" hidden="1" x14ac:dyDescent="0.25">
      <c r="A1372" s="228" t="s">
        <v>36</v>
      </c>
      <c r="B1372" s="234" t="s">
        <v>441</v>
      </c>
      <c r="C1372" s="230" t="s">
        <v>481</v>
      </c>
      <c r="D1372" s="230" t="s">
        <v>482</v>
      </c>
      <c r="E1372" s="229" t="s">
        <v>22</v>
      </c>
      <c r="F1372" s="231">
        <v>93.78</v>
      </c>
      <c r="G1372" s="229" t="s">
        <v>1</v>
      </c>
      <c r="H1372" s="405">
        <f ca="1">INDEX(PRODUTIVIDADES!$M:$M,MATCH(tbAREAS[[#This Row],[TIPO DE ÁREA]],PRODUTIVIDADES!$B:$B,0)+MATCH(tbAREAS[[#This Row],[LOCALIDADE]],PRODUTIVIDADES!$A:$A,0)-3)*tbAREAS[[#This Row],[ÁREA EM M²]]</f>
        <v>37.512</v>
      </c>
      <c r="L1372" s="391"/>
    </row>
    <row r="1373" spans="1:12" hidden="1" x14ac:dyDescent="0.25">
      <c r="A1373" s="228" t="s">
        <v>36</v>
      </c>
      <c r="B1373" s="234" t="s">
        <v>441</v>
      </c>
      <c r="C1373" s="230" t="s">
        <v>483</v>
      </c>
      <c r="D1373" s="230" t="s">
        <v>484</v>
      </c>
      <c r="E1373" s="229" t="s">
        <v>10</v>
      </c>
      <c r="F1373" s="231">
        <v>18.399999999999999</v>
      </c>
      <c r="G1373" s="229" t="s">
        <v>1</v>
      </c>
      <c r="H1373" s="405">
        <f ca="1">INDEX(PRODUTIVIDADES!$M:$M,MATCH(tbAREAS[[#This Row],[TIPO DE ÁREA]],PRODUTIVIDADES!$B:$B,0)+MATCH(tbAREAS[[#This Row],[LOCALIDADE]],PRODUTIVIDADES!$A:$A,0)-3)*tbAREAS[[#This Row],[ÁREA EM M²]]</f>
        <v>50.599999999999994</v>
      </c>
      <c r="L1373" s="391"/>
    </row>
    <row r="1374" spans="1:12" hidden="1" x14ac:dyDescent="0.25">
      <c r="A1374" s="228" t="s">
        <v>36</v>
      </c>
      <c r="B1374" s="234" t="s">
        <v>441</v>
      </c>
      <c r="C1374" s="230" t="s">
        <v>483</v>
      </c>
      <c r="D1374" s="230" t="s">
        <v>484</v>
      </c>
      <c r="E1374" s="229" t="s">
        <v>15</v>
      </c>
      <c r="F1374" s="231">
        <v>20</v>
      </c>
      <c r="G1374" s="229" t="s">
        <v>1</v>
      </c>
      <c r="H1374" s="405">
        <f ca="1">INDEX(PRODUTIVIDADES!$M:$M,MATCH(tbAREAS[[#This Row],[TIPO DE ÁREA]],PRODUTIVIDADES!$B:$B,0)+MATCH(tbAREAS[[#This Row],[LOCALIDADE]],PRODUTIVIDADES!$A:$A,0)-3)*tbAREAS[[#This Row],[ÁREA EM M²]]</f>
        <v>12.2</v>
      </c>
      <c r="L1374" s="391"/>
    </row>
    <row r="1375" spans="1:12" hidden="1" x14ac:dyDescent="0.25">
      <c r="A1375" s="228" t="s">
        <v>36</v>
      </c>
      <c r="B1375" s="234" t="s">
        <v>441</v>
      </c>
      <c r="C1375" s="230" t="s">
        <v>483</v>
      </c>
      <c r="D1375" s="230" t="s">
        <v>484</v>
      </c>
      <c r="E1375" s="229" t="s">
        <v>18</v>
      </c>
      <c r="F1375" s="231">
        <v>4.8</v>
      </c>
      <c r="G1375" s="229" t="s">
        <v>1</v>
      </c>
      <c r="H1375" s="405">
        <f ca="1">INDEX(PRODUTIVIDADES!$M:$M,MATCH(tbAREAS[[#This Row],[TIPO DE ÁREA]],PRODUTIVIDADES!$B:$B,0)+MATCH(tbAREAS[[#This Row],[LOCALIDADE]],PRODUTIVIDADES!$A:$A,0)-3)*tbAREAS[[#This Row],[ÁREA EM M²]]</f>
        <v>192.43200000000002</v>
      </c>
      <c r="L1375" s="391"/>
    </row>
    <row r="1376" spans="1:12" hidden="1" x14ac:dyDescent="0.25">
      <c r="A1376" s="228" t="s">
        <v>36</v>
      </c>
      <c r="B1376" s="234" t="s">
        <v>441</v>
      </c>
      <c r="C1376" s="230" t="s">
        <v>483</v>
      </c>
      <c r="D1376" s="230" t="s">
        <v>484</v>
      </c>
      <c r="E1376" s="229" t="s">
        <v>21</v>
      </c>
      <c r="F1376" s="231">
        <v>16.399999999999999</v>
      </c>
      <c r="G1376" s="229" t="s">
        <v>1</v>
      </c>
      <c r="H1376" s="405">
        <f ca="1">INDEX(PRODUTIVIDADES!$M:$M,MATCH(tbAREAS[[#This Row],[TIPO DE ÁREA]],PRODUTIVIDADES!$B:$B,0)+MATCH(tbAREAS[[#This Row],[LOCALIDADE]],PRODUTIVIDADES!$A:$A,0)-3)*tbAREAS[[#This Row],[ÁREA EM M²]]</f>
        <v>2.7879999999999998</v>
      </c>
      <c r="L1376" s="391"/>
    </row>
    <row r="1377" spans="1:12" hidden="1" x14ac:dyDescent="0.25">
      <c r="A1377" s="228" t="s">
        <v>36</v>
      </c>
      <c r="B1377" s="234" t="s">
        <v>441</v>
      </c>
      <c r="C1377" s="230" t="s">
        <v>483</v>
      </c>
      <c r="D1377" s="230" t="s">
        <v>484</v>
      </c>
      <c r="E1377" s="229" t="s">
        <v>22</v>
      </c>
      <c r="F1377" s="231">
        <v>16.399999999999999</v>
      </c>
      <c r="G1377" s="229" t="s">
        <v>1</v>
      </c>
      <c r="H1377" s="405">
        <f ca="1">INDEX(PRODUTIVIDADES!$M:$M,MATCH(tbAREAS[[#This Row],[TIPO DE ÁREA]],PRODUTIVIDADES!$B:$B,0)+MATCH(tbAREAS[[#This Row],[LOCALIDADE]],PRODUTIVIDADES!$A:$A,0)-3)*tbAREAS[[#This Row],[ÁREA EM M²]]</f>
        <v>6.56</v>
      </c>
      <c r="L1377" s="391"/>
    </row>
    <row r="1378" spans="1:12" hidden="1" x14ac:dyDescent="0.25">
      <c r="A1378" s="228" t="s">
        <v>2</v>
      </c>
      <c r="B1378" s="234" t="s">
        <v>485</v>
      </c>
      <c r="C1378" s="230" t="s">
        <v>486</v>
      </c>
      <c r="D1378" s="230"/>
      <c r="E1378" s="229" t="s">
        <v>10</v>
      </c>
      <c r="F1378" s="231">
        <v>822.75</v>
      </c>
      <c r="G1378" s="229" t="s">
        <v>1</v>
      </c>
      <c r="H1378" s="405">
        <f ca="1">INDEX(PRODUTIVIDADES!$M:$M,MATCH(tbAREAS[[#This Row],[TIPO DE ÁREA]],PRODUTIVIDADES!$B:$B,0)+MATCH(tbAREAS[[#This Row],[LOCALIDADE]],PRODUTIVIDADES!$A:$A,0)-3)*tbAREAS[[#This Row],[ÁREA EM M²]]</f>
        <v>2566.98</v>
      </c>
      <c r="L1378" s="391"/>
    </row>
    <row r="1379" spans="1:12" hidden="1" x14ac:dyDescent="0.25">
      <c r="A1379" s="228" t="s">
        <v>2</v>
      </c>
      <c r="B1379" s="234" t="s">
        <v>485</v>
      </c>
      <c r="C1379" s="230" t="s">
        <v>486</v>
      </c>
      <c r="D1379" s="230"/>
      <c r="E1379" s="229" t="s">
        <v>17</v>
      </c>
      <c r="F1379" s="231">
        <v>227.70999999999998</v>
      </c>
      <c r="G1379" s="229" t="s">
        <v>1</v>
      </c>
      <c r="H1379" s="405">
        <f ca="1">INDEX(PRODUTIVIDADES!$M:$M,MATCH(tbAREAS[[#This Row],[TIPO DE ÁREA]],PRODUTIVIDADES!$B:$B,0)+MATCH(tbAREAS[[#This Row],[LOCALIDADE]],PRODUTIVIDADES!$A:$A,0)-3)*tbAREAS[[#This Row],[ÁREA EM M²]]</f>
        <v>532.84139999999991</v>
      </c>
      <c r="L1379" s="391"/>
    </row>
    <row r="1380" spans="1:12" hidden="1" x14ac:dyDescent="0.25">
      <c r="A1380" s="228" t="s">
        <v>2</v>
      </c>
      <c r="B1380" s="234" t="s">
        <v>485</v>
      </c>
      <c r="C1380" s="230" t="s">
        <v>486</v>
      </c>
      <c r="D1380" s="230"/>
      <c r="E1380" s="229" t="s">
        <v>18</v>
      </c>
      <c r="F1380" s="231">
        <v>28.36</v>
      </c>
      <c r="G1380" s="229" t="s">
        <v>1</v>
      </c>
      <c r="H1380" s="405">
        <f ca="1">INDEX(PRODUTIVIDADES!$M:$M,MATCH(tbAREAS[[#This Row],[TIPO DE ÁREA]],PRODUTIVIDADES!$B:$B,0)+MATCH(tbAREAS[[#This Row],[LOCALIDADE]],PRODUTIVIDADES!$A:$A,0)-3)*tbAREAS[[#This Row],[ÁREA EM M²]]</f>
        <v>1286.126</v>
      </c>
      <c r="L1380" s="391"/>
    </row>
    <row r="1381" spans="1:12" hidden="1" x14ac:dyDescent="0.25">
      <c r="A1381" s="228" t="s">
        <v>2</v>
      </c>
      <c r="B1381" s="234" t="s">
        <v>485</v>
      </c>
      <c r="C1381" s="230" t="s">
        <v>487</v>
      </c>
      <c r="D1381" s="230"/>
      <c r="E1381" s="229" t="s">
        <v>10</v>
      </c>
      <c r="F1381" s="231">
        <v>237.55</v>
      </c>
      <c r="G1381" s="229" t="s">
        <v>1</v>
      </c>
      <c r="H1381" s="405">
        <f ca="1">INDEX(PRODUTIVIDADES!$M:$M,MATCH(tbAREAS[[#This Row],[TIPO DE ÁREA]],PRODUTIVIDADES!$B:$B,0)+MATCH(tbAREAS[[#This Row],[LOCALIDADE]],PRODUTIVIDADES!$A:$A,0)-3)*tbAREAS[[#This Row],[ÁREA EM M²]]</f>
        <v>741.15600000000006</v>
      </c>
      <c r="L1381" s="391"/>
    </row>
    <row r="1382" spans="1:12" hidden="1" x14ac:dyDescent="0.25">
      <c r="A1382" s="228" t="s">
        <v>2</v>
      </c>
      <c r="B1382" s="234" t="s">
        <v>485</v>
      </c>
      <c r="C1382" s="230" t="s">
        <v>487</v>
      </c>
      <c r="D1382" s="230"/>
      <c r="E1382" s="229" t="s">
        <v>17</v>
      </c>
      <c r="F1382" s="231">
        <v>36.799999999999997</v>
      </c>
      <c r="G1382" s="229" t="s">
        <v>1</v>
      </c>
      <c r="H1382" s="405">
        <f ca="1">INDEX(PRODUTIVIDADES!$M:$M,MATCH(tbAREAS[[#This Row],[TIPO DE ÁREA]],PRODUTIVIDADES!$B:$B,0)+MATCH(tbAREAS[[#This Row],[LOCALIDADE]],PRODUTIVIDADES!$A:$A,0)-3)*tbAREAS[[#This Row],[ÁREA EM M²]]</f>
        <v>86.111999999999995</v>
      </c>
      <c r="L1382" s="391"/>
    </row>
    <row r="1383" spans="1:12" hidden="1" x14ac:dyDescent="0.25">
      <c r="A1383" s="228" t="s">
        <v>2</v>
      </c>
      <c r="B1383" s="234" t="s">
        <v>485</v>
      </c>
      <c r="C1383" s="230" t="s">
        <v>487</v>
      </c>
      <c r="D1383" s="230"/>
      <c r="E1383" s="229" t="s">
        <v>18</v>
      </c>
      <c r="F1383" s="231">
        <v>19.8</v>
      </c>
      <c r="G1383" s="229" t="s">
        <v>1</v>
      </c>
      <c r="H1383" s="405">
        <f ca="1">INDEX(PRODUTIVIDADES!$M:$M,MATCH(tbAREAS[[#This Row],[TIPO DE ÁREA]],PRODUTIVIDADES!$B:$B,0)+MATCH(tbAREAS[[#This Row],[LOCALIDADE]],PRODUTIVIDADES!$A:$A,0)-3)*tbAREAS[[#This Row],[ÁREA EM M²]]</f>
        <v>897.93000000000006</v>
      </c>
      <c r="L1383" s="391"/>
    </row>
    <row r="1384" spans="1:12" hidden="1" x14ac:dyDescent="0.25">
      <c r="A1384" s="228" t="s">
        <v>2</v>
      </c>
      <c r="B1384" s="234" t="s">
        <v>485</v>
      </c>
      <c r="C1384" s="230" t="s">
        <v>487</v>
      </c>
      <c r="D1384" s="230"/>
      <c r="E1384" s="229" t="s">
        <v>20</v>
      </c>
      <c r="F1384" s="231">
        <v>65</v>
      </c>
      <c r="G1384" s="229" t="s">
        <v>1</v>
      </c>
      <c r="H1384" s="405">
        <f ca="1">INDEX(PRODUTIVIDADES!$M:$M,MATCH(tbAREAS[[#This Row],[TIPO DE ÁREA]],PRODUTIVIDADES!$B:$B,0)+MATCH(tbAREAS[[#This Row],[LOCALIDADE]],PRODUTIVIDADES!$A:$A,0)-3)*tbAREAS[[#This Row],[ÁREA EM M²]]</f>
        <v>50.7</v>
      </c>
      <c r="L1384" s="391"/>
    </row>
    <row r="1385" spans="1:12" hidden="1" x14ac:dyDescent="0.25">
      <c r="A1385" s="228" t="s">
        <v>2</v>
      </c>
      <c r="B1385" s="234" t="s">
        <v>485</v>
      </c>
      <c r="C1385" s="230" t="s">
        <v>487</v>
      </c>
      <c r="D1385" s="230"/>
      <c r="E1385" s="229" t="s">
        <v>21</v>
      </c>
      <c r="F1385" s="231">
        <v>134.97999999999999</v>
      </c>
      <c r="G1385" s="229" t="s">
        <v>1</v>
      </c>
      <c r="H1385" s="405">
        <f ca="1">INDEX(PRODUTIVIDADES!$M:$M,MATCH(tbAREAS[[#This Row],[TIPO DE ÁREA]],PRODUTIVIDADES!$B:$B,0)+MATCH(tbAREAS[[#This Row],[LOCALIDADE]],PRODUTIVIDADES!$A:$A,0)-3)*tbAREAS[[#This Row],[ÁREA EM M²]]</f>
        <v>22.9466</v>
      </c>
      <c r="L1385" s="391"/>
    </row>
    <row r="1386" spans="1:12" hidden="1" x14ac:dyDescent="0.25">
      <c r="A1386" s="228" t="s">
        <v>2</v>
      </c>
      <c r="B1386" s="234" t="s">
        <v>485</v>
      </c>
      <c r="C1386" s="230" t="s">
        <v>487</v>
      </c>
      <c r="D1386" s="230"/>
      <c r="E1386" s="229" t="s">
        <v>22</v>
      </c>
      <c r="F1386" s="231">
        <v>37.549999999999997</v>
      </c>
      <c r="G1386" s="229" t="s">
        <v>1</v>
      </c>
      <c r="H1386" s="405">
        <f ca="1">INDEX(PRODUTIVIDADES!$M:$M,MATCH(tbAREAS[[#This Row],[TIPO DE ÁREA]],PRODUTIVIDADES!$B:$B,0)+MATCH(tbAREAS[[#This Row],[LOCALIDADE]],PRODUTIVIDADES!$A:$A,0)-3)*tbAREAS[[#This Row],[ÁREA EM M²]]</f>
        <v>15.02</v>
      </c>
      <c r="L1386" s="391"/>
    </row>
    <row r="1387" spans="1:12" hidden="1" x14ac:dyDescent="0.25">
      <c r="A1387" s="228" t="s">
        <v>2</v>
      </c>
      <c r="B1387" s="234" t="s">
        <v>485</v>
      </c>
      <c r="C1387" s="230" t="s">
        <v>488</v>
      </c>
      <c r="D1387" s="230"/>
      <c r="E1387" s="229" t="s">
        <v>10</v>
      </c>
      <c r="F1387" s="231">
        <v>491.57</v>
      </c>
      <c r="G1387" s="229" t="s">
        <v>1</v>
      </c>
      <c r="H1387" s="405">
        <f ca="1">INDEX(PRODUTIVIDADES!$M:$M,MATCH(tbAREAS[[#This Row],[TIPO DE ÁREA]],PRODUTIVIDADES!$B:$B,0)+MATCH(tbAREAS[[#This Row],[LOCALIDADE]],PRODUTIVIDADES!$A:$A,0)-3)*tbAREAS[[#This Row],[ÁREA EM M²]]</f>
        <v>1533.6984</v>
      </c>
      <c r="L1387" s="391"/>
    </row>
    <row r="1388" spans="1:12" hidden="1" x14ac:dyDescent="0.25">
      <c r="A1388" s="228" t="s">
        <v>2</v>
      </c>
      <c r="B1388" s="234" t="s">
        <v>485</v>
      </c>
      <c r="C1388" s="230" t="s">
        <v>488</v>
      </c>
      <c r="D1388" s="230"/>
      <c r="E1388" s="229" t="s">
        <v>17</v>
      </c>
      <c r="F1388" s="231">
        <v>268.25</v>
      </c>
      <c r="G1388" s="229" t="s">
        <v>1</v>
      </c>
      <c r="H1388" s="405">
        <f ca="1">INDEX(PRODUTIVIDADES!$M:$M,MATCH(tbAREAS[[#This Row],[TIPO DE ÁREA]],PRODUTIVIDADES!$B:$B,0)+MATCH(tbAREAS[[#This Row],[LOCALIDADE]],PRODUTIVIDADES!$A:$A,0)-3)*tbAREAS[[#This Row],[ÁREA EM M²]]</f>
        <v>627.70499999999993</v>
      </c>
      <c r="L1388" s="391"/>
    </row>
    <row r="1389" spans="1:12" hidden="1" x14ac:dyDescent="0.25">
      <c r="A1389" s="228" t="s">
        <v>2</v>
      </c>
      <c r="B1389" s="234" t="s">
        <v>485</v>
      </c>
      <c r="C1389" s="230" t="s">
        <v>488</v>
      </c>
      <c r="D1389" s="230"/>
      <c r="E1389" s="229" t="s">
        <v>18</v>
      </c>
      <c r="F1389" s="231">
        <v>26.52</v>
      </c>
      <c r="G1389" s="229" t="s">
        <v>1</v>
      </c>
      <c r="H1389" s="405">
        <f ca="1">INDEX(PRODUTIVIDADES!$M:$M,MATCH(tbAREAS[[#This Row],[TIPO DE ÁREA]],PRODUTIVIDADES!$B:$B,0)+MATCH(tbAREAS[[#This Row],[LOCALIDADE]],PRODUTIVIDADES!$A:$A,0)-3)*tbAREAS[[#This Row],[ÁREA EM M²]]</f>
        <v>1202.682</v>
      </c>
      <c r="L1389" s="391"/>
    </row>
    <row r="1390" spans="1:12" hidden="1" x14ac:dyDescent="0.25">
      <c r="A1390" s="228" t="s">
        <v>2</v>
      </c>
      <c r="B1390" s="234" t="s">
        <v>485</v>
      </c>
      <c r="C1390" s="230" t="s">
        <v>488</v>
      </c>
      <c r="D1390" s="230"/>
      <c r="E1390" s="229" t="s">
        <v>21</v>
      </c>
      <c r="F1390" s="231">
        <v>115.54</v>
      </c>
      <c r="G1390" s="229" t="s">
        <v>1</v>
      </c>
      <c r="H1390" s="405">
        <f ca="1">INDEX(PRODUTIVIDADES!$M:$M,MATCH(tbAREAS[[#This Row],[TIPO DE ÁREA]],PRODUTIVIDADES!$B:$B,0)+MATCH(tbAREAS[[#This Row],[LOCALIDADE]],PRODUTIVIDADES!$A:$A,0)-3)*tbAREAS[[#This Row],[ÁREA EM M²]]</f>
        <v>19.641800000000003</v>
      </c>
      <c r="L1390" s="391"/>
    </row>
    <row r="1391" spans="1:12" hidden="1" x14ac:dyDescent="0.25">
      <c r="A1391" s="228" t="s">
        <v>2</v>
      </c>
      <c r="B1391" s="234" t="s">
        <v>485</v>
      </c>
      <c r="C1391" s="230" t="s">
        <v>488</v>
      </c>
      <c r="D1391" s="230"/>
      <c r="E1391" s="229" t="s">
        <v>22</v>
      </c>
      <c r="F1391" s="231">
        <v>115.54</v>
      </c>
      <c r="G1391" s="229" t="s">
        <v>1</v>
      </c>
      <c r="H1391" s="405">
        <f ca="1">INDEX(PRODUTIVIDADES!$M:$M,MATCH(tbAREAS[[#This Row],[TIPO DE ÁREA]],PRODUTIVIDADES!$B:$B,0)+MATCH(tbAREAS[[#This Row],[LOCALIDADE]],PRODUTIVIDADES!$A:$A,0)-3)*tbAREAS[[#This Row],[ÁREA EM M²]]</f>
        <v>46.216000000000008</v>
      </c>
      <c r="L1391" s="391"/>
    </row>
    <row r="1392" spans="1:12" hidden="1" x14ac:dyDescent="0.25">
      <c r="A1392" s="228" t="s">
        <v>38</v>
      </c>
      <c r="B1392" s="234" t="s">
        <v>99</v>
      </c>
      <c r="C1392" s="230" t="s">
        <v>121</v>
      </c>
      <c r="D1392" s="230"/>
      <c r="E1392" s="229" t="s">
        <v>21</v>
      </c>
      <c r="F1392" s="231">
        <v>691.05</v>
      </c>
      <c r="G1392" s="229" t="s">
        <v>1</v>
      </c>
      <c r="H1392" s="405">
        <f ca="1">INDEX(PRODUTIVIDADES!$M:$M,MATCH(tbAREAS[[#This Row],[TIPO DE ÁREA]],PRODUTIVIDADES!$B:$B,0)+MATCH(tbAREAS[[#This Row],[LOCALIDADE]],PRODUTIVIDADES!$A:$A,0)-3)*tbAREAS[[#This Row],[ÁREA EM M²]]</f>
        <v>117.4785</v>
      </c>
      <c r="L1392" s="391"/>
    </row>
    <row r="1393" spans="1:12" hidden="1" x14ac:dyDescent="0.25">
      <c r="A1393" s="228" t="s">
        <v>38</v>
      </c>
      <c r="B1393" s="234" t="s">
        <v>99</v>
      </c>
      <c r="C1393" s="230" t="s">
        <v>121</v>
      </c>
      <c r="D1393" s="230"/>
      <c r="E1393" s="229" t="s">
        <v>22</v>
      </c>
      <c r="F1393" s="231">
        <v>691.05</v>
      </c>
      <c r="G1393" s="229" t="s">
        <v>1</v>
      </c>
      <c r="H1393" s="405">
        <f ca="1">INDEX(PRODUTIVIDADES!$M:$M,MATCH(tbAREAS[[#This Row],[TIPO DE ÁREA]],PRODUTIVIDADES!$B:$B,0)+MATCH(tbAREAS[[#This Row],[LOCALIDADE]],PRODUTIVIDADES!$A:$A,0)-3)*tbAREAS[[#This Row],[ÁREA EM M²]]</f>
        <v>276.42</v>
      </c>
      <c r="L1393" s="391"/>
    </row>
    <row r="1394" spans="1:12" hidden="1" x14ac:dyDescent="0.25">
      <c r="A1394" s="228" t="s">
        <v>2</v>
      </c>
      <c r="B1394" s="229" t="s">
        <v>111</v>
      </c>
      <c r="C1394" s="230" t="s">
        <v>112</v>
      </c>
      <c r="D1394" s="230" t="s">
        <v>489</v>
      </c>
      <c r="E1394" s="229" t="s">
        <v>10</v>
      </c>
      <c r="F1394" s="231">
        <v>6384.17</v>
      </c>
      <c r="G1394" s="229" t="s">
        <v>1</v>
      </c>
      <c r="H1394" s="405">
        <f ca="1">INDEX(PRODUTIVIDADES!$M:$M,MATCH(tbAREAS[[#This Row],[TIPO DE ÁREA]],PRODUTIVIDADES!$B:$B,0)+MATCH(tbAREAS[[#This Row],[LOCALIDADE]],PRODUTIVIDADES!$A:$A,0)-3)*tbAREAS[[#This Row],[ÁREA EM M²]]</f>
        <v>19918.610400000001</v>
      </c>
      <c r="L1394" s="391"/>
    </row>
    <row r="1395" spans="1:12" hidden="1" x14ac:dyDescent="0.25">
      <c r="A1395" s="228" t="s">
        <v>2</v>
      </c>
      <c r="B1395" s="229" t="s">
        <v>111</v>
      </c>
      <c r="C1395" s="230" t="s">
        <v>112</v>
      </c>
      <c r="D1395" s="230" t="s">
        <v>489</v>
      </c>
      <c r="E1395" s="229" t="s">
        <v>12</v>
      </c>
      <c r="F1395" s="231">
        <f>30.39+21.07+18.46+87.69</f>
        <v>157.61000000000001</v>
      </c>
      <c r="G1395" s="229" t="s">
        <v>1</v>
      </c>
      <c r="H1395" s="405">
        <f ca="1">INDEX(PRODUTIVIDADES!$M:$M,MATCH(tbAREAS[[#This Row],[TIPO DE ÁREA]],PRODUTIVIDADES!$B:$B,0)+MATCH(tbAREAS[[#This Row],[LOCALIDADE]],PRODUTIVIDADES!$A:$A,0)-3)*tbAREAS[[#This Row],[ÁREA EM M²]]</f>
        <v>491.74320000000006</v>
      </c>
      <c r="L1395" s="391"/>
    </row>
    <row r="1396" spans="1:12" hidden="1" x14ac:dyDescent="0.25">
      <c r="A1396" s="228" t="s">
        <v>2</v>
      </c>
      <c r="B1396" s="229" t="s">
        <v>111</v>
      </c>
      <c r="C1396" s="230" t="s">
        <v>112</v>
      </c>
      <c r="D1396" s="230" t="s">
        <v>489</v>
      </c>
      <c r="E1396" s="229" t="s">
        <v>17</v>
      </c>
      <c r="F1396" s="231">
        <v>2335.7600000000002</v>
      </c>
      <c r="G1396" s="229" t="s">
        <v>1</v>
      </c>
      <c r="H1396" s="405">
        <f ca="1">INDEX(PRODUTIVIDADES!$M:$M,MATCH(tbAREAS[[#This Row],[TIPO DE ÁREA]],PRODUTIVIDADES!$B:$B,0)+MATCH(tbAREAS[[#This Row],[LOCALIDADE]],PRODUTIVIDADES!$A:$A,0)-3)*tbAREAS[[#This Row],[ÁREA EM M²]]</f>
        <v>5465.6783999999998</v>
      </c>
      <c r="L1396" s="391"/>
    </row>
    <row r="1397" spans="1:12" hidden="1" x14ac:dyDescent="0.25">
      <c r="A1397" s="228" t="s">
        <v>2</v>
      </c>
      <c r="B1397" s="229" t="s">
        <v>111</v>
      </c>
      <c r="C1397" s="230" t="s">
        <v>112</v>
      </c>
      <c r="D1397" s="230" t="s">
        <v>489</v>
      </c>
      <c r="E1397" s="229" t="s">
        <v>18</v>
      </c>
      <c r="F1397" s="231">
        <v>450.02</v>
      </c>
      <c r="G1397" s="229" t="s">
        <v>1</v>
      </c>
      <c r="H1397" s="405">
        <f ca="1">INDEX(PRODUTIVIDADES!$M:$M,MATCH(tbAREAS[[#This Row],[TIPO DE ÁREA]],PRODUTIVIDADES!$B:$B,0)+MATCH(tbAREAS[[#This Row],[LOCALIDADE]],PRODUTIVIDADES!$A:$A,0)-3)*tbAREAS[[#This Row],[ÁREA EM M²]]</f>
        <v>20408.406999999999</v>
      </c>
      <c r="L1397" s="391"/>
    </row>
    <row r="1398" spans="1:12" hidden="1" x14ac:dyDescent="0.25">
      <c r="A1398" s="228" t="s">
        <v>2</v>
      </c>
      <c r="B1398" s="229" t="s">
        <v>111</v>
      </c>
      <c r="C1398" s="230" t="s">
        <v>112</v>
      </c>
      <c r="D1398" s="230" t="s">
        <v>489</v>
      </c>
      <c r="E1398" s="229" t="s">
        <v>21</v>
      </c>
      <c r="F1398" s="231">
        <v>2318.84</v>
      </c>
      <c r="G1398" s="229" t="s">
        <v>1</v>
      </c>
      <c r="H1398" s="405">
        <f ca="1">INDEX(PRODUTIVIDADES!$M:$M,MATCH(tbAREAS[[#This Row],[TIPO DE ÁREA]],PRODUTIVIDADES!$B:$B,0)+MATCH(tbAREAS[[#This Row],[LOCALIDADE]],PRODUTIVIDADES!$A:$A,0)-3)*tbAREAS[[#This Row],[ÁREA EM M²]]</f>
        <v>394.20280000000002</v>
      </c>
      <c r="L1398" s="391"/>
    </row>
    <row r="1399" spans="1:12" hidden="1" x14ac:dyDescent="0.25">
      <c r="A1399" s="228" t="s">
        <v>2</v>
      </c>
      <c r="B1399" s="229" t="s">
        <v>111</v>
      </c>
      <c r="C1399" s="230" t="s">
        <v>112</v>
      </c>
      <c r="D1399" s="230" t="s">
        <v>489</v>
      </c>
      <c r="E1399" s="229" t="s">
        <v>22</v>
      </c>
      <c r="F1399" s="231">
        <v>2318.84</v>
      </c>
      <c r="G1399" s="229" t="s">
        <v>1</v>
      </c>
      <c r="H1399" s="405">
        <f ca="1">INDEX(PRODUTIVIDADES!$M:$M,MATCH(tbAREAS[[#This Row],[TIPO DE ÁREA]],PRODUTIVIDADES!$B:$B,0)+MATCH(tbAREAS[[#This Row],[LOCALIDADE]],PRODUTIVIDADES!$A:$A,0)-3)*tbAREAS[[#This Row],[ÁREA EM M²]]</f>
        <v>927.53600000000006</v>
      </c>
      <c r="L1399" s="391"/>
    </row>
    <row r="1400" spans="1:12" hidden="1" x14ac:dyDescent="0.25">
      <c r="A1400" s="228" t="s">
        <v>2</v>
      </c>
      <c r="B1400" s="234" t="s">
        <v>490</v>
      </c>
      <c r="C1400" s="230" t="s">
        <v>491</v>
      </c>
      <c r="D1400" s="230" t="s">
        <v>492</v>
      </c>
      <c r="E1400" s="229" t="s">
        <v>18</v>
      </c>
      <c r="F1400" s="231">
        <v>12.96</v>
      </c>
      <c r="G1400" s="229" t="s">
        <v>1</v>
      </c>
      <c r="H1400" s="405">
        <f ca="1">INDEX(PRODUTIVIDADES!$M:$M,MATCH(tbAREAS[[#This Row],[TIPO DE ÁREA]],PRODUTIVIDADES!$B:$B,0)+MATCH(tbAREAS[[#This Row],[LOCALIDADE]],PRODUTIVIDADES!$A:$A,0)-3)*tbAREAS[[#This Row],[ÁREA EM M²]]</f>
        <v>587.7360000000001</v>
      </c>
      <c r="L1400" s="391"/>
    </row>
    <row r="1401" spans="1:12" hidden="1" x14ac:dyDescent="0.25">
      <c r="A1401" s="228" t="s">
        <v>2</v>
      </c>
      <c r="B1401" s="234" t="s">
        <v>490</v>
      </c>
      <c r="C1401" s="230" t="s">
        <v>491</v>
      </c>
      <c r="D1401" s="230" t="s">
        <v>492</v>
      </c>
      <c r="E1401" s="229" t="s">
        <v>20</v>
      </c>
      <c r="F1401" s="231">
        <v>160.54</v>
      </c>
      <c r="G1401" s="229" t="s">
        <v>1</v>
      </c>
      <c r="H1401" s="405">
        <f ca="1">INDEX(PRODUTIVIDADES!$M:$M,MATCH(tbAREAS[[#This Row],[TIPO DE ÁREA]],PRODUTIVIDADES!$B:$B,0)+MATCH(tbAREAS[[#This Row],[LOCALIDADE]],PRODUTIVIDADES!$A:$A,0)-3)*tbAREAS[[#This Row],[ÁREA EM M²]]</f>
        <v>125.2212</v>
      </c>
      <c r="L1401" s="391"/>
    </row>
    <row r="1402" spans="1:12" hidden="1" x14ac:dyDescent="0.25">
      <c r="A1402" s="228" t="s">
        <v>2</v>
      </c>
      <c r="B1402" s="234" t="s">
        <v>490</v>
      </c>
      <c r="C1402" s="230" t="s">
        <v>491</v>
      </c>
      <c r="D1402" s="230" t="s">
        <v>492</v>
      </c>
      <c r="E1402" s="229" t="s">
        <v>21</v>
      </c>
      <c r="F1402" s="231">
        <v>20.12</v>
      </c>
      <c r="G1402" s="229" t="s">
        <v>1</v>
      </c>
      <c r="H1402" s="405">
        <f ca="1">INDEX(PRODUTIVIDADES!$M:$M,MATCH(tbAREAS[[#This Row],[TIPO DE ÁREA]],PRODUTIVIDADES!$B:$B,0)+MATCH(tbAREAS[[#This Row],[LOCALIDADE]],PRODUTIVIDADES!$A:$A,0)-3)*tbAREAS[[#This Row],[ÁREA EM M²]]</f>
        <v>3.4204000000000003</v>
      </c>
      <c r="L1402" s="391"/>
    </row>
    <row r="1403" spans="1:12" hidden="1" x14ac:dyDescent="0.25">
      <c r="A1403" s="228" t="s">
        <v>2</v>
      </c>
      <c r="B1403" s="234" t="s">
        <v>490</v>
      </c>
      <c r="C1403" s="230" t="s">
        <v>491</v>
      </c>
      <c r="D1403" s="230" t="s">
        <v>492</v>
      </c>
      <c r="E1403" s="229" t="s">
        <v>22</v>
      </c>
      <c r="F1403" s="231">
        <v>20.12</v>
      </c>
      <c r="G1403" s="229" t="s">
        <v>1</v>
      </c>
      <c r="H1403" s="405">
        <f ca="1">INDEX(PRODUTIVIDADES!$M:$M,MATCH(tbAREAS[[#This Row],[TIPO DE ÁREA]],PRODUTIVIDADES!$B:$B,0)+MATCH(tbAREAS[[#This Row],[LOCALIDADE]],PRODUTIVIDADES!$A:$A,0)-3)*tbAREAS[[#This Row],[ÁREA EM M²]]</f>
        <v>8.048</v>
      </c>
      <c r="L1403" s="391"/>
    </row>
    <row r="1404" spans="1:12" hidden="1" x14ac:dyDescent="0.25">
      <c r="A1404" s="228" t="s">
        <v>2</v>
      </c>
      <c r="B1404" s="229" t="s">
        <v>111</v>
      </c>
      <c r="C1404" s="230" t="s">
        <v>493</v>
      </c>
      <c r="D1404" s="230" t="s">
        <v>494</v>
      </c>
      <c r="E1404" s="229" t="s">
        <v>21</v>
      </c>
      <c r="F1404" s="231">
        <v>60</v>
      </c>
      <c r="G1404" s="229" t="s">
        <v>1</v>
      </c>
      <c r="H1404" s="405">
        <f ca="1">INDEX(PRODUTIVIDADES!$M:$M,MATCH(tbAREAS[[#This Row],[TIPO DE ÁREA]],PRODUTIVIDADES!$B:$B,0)+MATCH(tbAREAS[[#This Row],[LOCALIDADE]],PRODUTIVIDADES!$A:$A,0)-3)*tbAREAS[[#This Row],[ÁREA EM M²]]</f>
        <v>10.200000000000001</v>
      </c>
      <c r="L1404" s="391"/>
    </row>
    <row r="1405" spans="1:12" hidden="1" x14ac:dyDescent="0.25">
      <c r="A1405" s="228" t="s">
        <v>2</v>
      </c>
      <c r="B1405" s="229" t="s">
        <v>111</v>
      </c>
      <c r="C1405" s="230" t="s">
        <v>493</v>
      </c>
      <c r="D1405" s="230" t="s">
        <v>494</v>
      </c>
      <c r="E1405" s="229" t="s">
        <v>22</v>
      </c>
      <c r="F1405" s="231">
        <v>60</v>
      </c>
      <c r="G1405" s="229" t="s">
        <v>1</v>
      </c>
      <c r="H1405" s="405">
        <f ca="1">INDEX(PRODUTIVIDADES!$M:$M,MATCH(tbAREAS[[#This Row],[TIPO DE ÁREA]],PRODUTIVIDADES!$B:$B,0)+MATCH(tbAREAS[[#This Row],[LOCALIDADE]],PRODUTIVIDADES!$A:$A,0)-3)*tbAREAS[[#This Row],[ÁREA EM M²]]</f>
        <v>24</v>
      </c>
      <c r="L1405" s="391"/>
    </row>
    <row r="1406" spans="1:12" hidden="1" x14ac:dyDescent="0.25">
      <c r="A1406" s="228" t="s">
        <v>2</v>
      </c>
      <c r="B1406" s="229" t="s">
        <v>111</v>
      </c>
      <c r="C1406" s="230" t="s">
        <v>495</v>
      </c>
      <c r="D1406" s="230" t="s">
        <v>496</v>
      </c>
      <c r="E1406" s="229" t="s">
        <v>10</v>
      </c>
      <c r="F1406" s="231">
        <v>52.54</v>
      </c>
      <c r="G1406" s="229" t="s">
        <v>1</v>
      </c>
      <c r="H1406" s="405">
        <f ca="1">INDEX(PRODUTIVIDADES!$M:$M,MATCH(tbAREAS[[#This Row],[TIPO DE ÁREA]],PRODUTIVIDADES!$B:$B,0)+MATCH(tbAREAS[[#This Row],[LOCALIDADE]],PRODUTIVIDADES!$A:$A,0)-3)*tbAREAS[[#This Row],[ÁREA EM M²]]</f>
        <v>163.9248</v>
      </c>
      <c r="L1406" s="391"/>
    </row>
    <row r="1407" spans="1:12" hidden="1" x14ac:dyDescent="0.25">
      <c r="A1407" s="228" t="s">
        <v>2</v>
      </c>
      <c r="B1407" s="229" t="s">
        <v>111</v>
      </c>
      <c r="C1407" s="230" t="s">
        <v>495</v>
      </c>
      <c r="D1407" s="230" t="s">
        <v>496</v>
      </c>
      <c r="E1407" s="229" t="s">
        <v>14</v>
      </c>
      <c r="F1407" s="231">
        <v>64.03</v>
      </c>
      <c r="G1407" s="229" t="s">
        <v>1</v>
      </c>
      <c r="H1407" s="405">
        <f ca="1">INDEX(PRODUTIVIDADES!$M:$M,MATCH(tbAREAS[[#This Row],[TIPO DE ÁREA]],PRODUTIVIDADES!$B:$B,0)+MATCH(tbAREAS[[#This Row],[LOCALIDADE]],PRODUTIVIDADES!$A:$A,0)-3)*tbAREAS[[#This Row],[ÁREA EM M²]]</f>
        <v>544.255</v>
      </c>
      <c r="L1407" s="391"/>
    </row>
    <row r="1408" spans="1:12" hidden="1" x14ac:dyDescent="0.25">
      <c r="A1408" s="228" t="s">
        <v>2</v>
      </c>
      <c r="B1408" s="229" t="s">
        <v>111</v>
      </c>
      <c r="C1408" s="230" t="s">
        <v>495</v>
      </c>
      <c r="D1408" s="230" t="s">
        <v>496</v>
      </c>
      <c r="E1408" s="229" t="s">
        <v>15</v>
      </c>
      <c r="F1408" s="231">
        <v>450.67</v>
      </c>
      <c r="G1408" s="229" t="s">
        <v>1</v>
      </c>
      <c r="H1408" s="405">
        <f ca="1">INDEX(PRODUTIVIDADES!$M:$M,MATCH(tbAREAS[[#This Row],[TIPO DE ÁREA]],PRODUTIVIDADES!$B:$B,0)+MATCH(tbAREAS[[#This Row],[LOCALIDADE]],PRODUTIVIDADES!$A:$A,0)-3)*tbAREAS[[#This Row],[ÁREA EM M²]]</f>
        <v>310.96229999999997</v>
      </c>
      <c r="L1408" s="391"/>
    </row>
    <row r="1409" spans="1:12" hidden="1" x14ac:dyDescent="0.25">
      <c r="A1409" s="228" t="s">
        <v>2</v>
      </c>
      <c r="B1409" s="229" t="s">
        <v>111</v>
      </c>
      <c r="C1409" s="230" t="s">
        <v>495</v>
      </c>
      <c r="D1409" s="230" t="s">
        <v>496</v>
      </c>
      <c r="E1409" s="229" t="s">
        <v>17</v>
      </c>
      <c r="F1409" s="231">
        <v>1.45</v>
      </c>
      <c r="G1409" s="229" t="s">
        <v>1</v>
      </c>
      <c r="H1409" s="405">
        <f ca="1">INDEX(PRODUTIVIDADES!$M:$M,MATCH(tbAREAS[[#This Row],[TIPO DE ÁREA]],PRODUTIVIDADES!$B:$B,0)+MATCH(tbAREAS[[#This Row],[LOCALIDADE]],PRODUTIVIDADES!$A:$A,0)-3)*tbAREAS[[#This Row],[ÁREA EM M²]]</f>
        <v>3.3929999999999998</v>
      </c>
      <c r="L1409" s="391"/>
    </row>
    <row r="1410" spans="1:12" hidden="1" x14ac:dyDescent="0.25">
      <c r="A1410" s="228" t="s">
        <v>2</v>
      </c>
      <c r="B1410" s="229" t="s">
        <v>111</v>
      </c>
      <c r="C1410" s="230" t="s">
        <v>495</v>
      </c>
      <c r="D1410" s="230" t="s">
        <v>496</v>
      </c>
      <c r="E1410" s="229" t="s">
        <v>18</v>
      </c>
      <c r="F1410" s="231">
        <v>4.7699999999999996</v>
      </c>
      <c r="G1410" s="229" t="s">
        <v>1</v>
      </c>
      <c r="H1410" s="405">
        <f ca="1">INDEX(PRODUTIVIDADES!$M:$M,MATCH(tbAREAS[[#This Row],[TIPO DE ÁREA]],PRODUTIVIDADES!$B:$B,0)+MATCH(tbAREAS[[#This Row],[LOCALIDADE]],PRODUTIVIDADES!$A:$A,0)-3)*tbAREAS[[#This Row],[ÁREA EM M²]]</f>
        <v>216.31949999999998</v>
      </c>
      <c r="L1410" s="391"/>
    </row>
    <row r="1411" spans="1:12" hidden="1" x14ac:dyDescent="0.25">
      <c r="A1411" s="228" t="s">
        <v>2</v>
      </c>
      <c r="B1411" s="229" t="s">
        <v>111</v>
      </c>
      <c r="C1411" s="230" t="s">
        <v>495</v>
      </c>
      <c r="D1411" s="230" t="s">
        <v>496</v>
      </c>
      <c r="E1411" s="229" t="s">
        <v>20</v>
      </c>
      <c r="F1411" s="231">
        <v>177.9</v>
      </c>
      <c r="G1411" s="229" t="s">
        <v>1</v>
      </c>
      <c r="H1411" s="405">
        <f ca="1">INDEX(PRODUTIVIDADES!$M:$M,MATCH(tbAREAS[[#This Row],[TIPO DE ÁREA]],PRODUTIVIDADES!$B:$B,0)+MATCH(tbAREAS[[#This Row],[LOCALIDADE]],PRODUTIVIDADES!$A:$A,0)-3)*tbAREAS[[#This Row],[ÁREA EM M²]]</f>
        <v>138.762</v>
      </c>
      <c r="L1411" s="391"/>
    </row>
    <row r="1412" spans="1:12" hidden="1" x14ac:dyDescent="0.25">
      <c r="A1412" s="228" t="s">
        <v>2</v>
      </c>
      <c r="B1412" s="229" t="s">
        <v>111</v>
      </c>
      <c r="C1412" s="230" t="s">
        <v>495</v>
      </c>
      <c r="D1412" s="230" t="s">
        <v>496</v>
      </c>
      <c r="E1412" s="229" t="s">
        <v>21</v>
      </c>
      <c r="F1412" s="231">
        <v>65.27</v>
      </c>
      <c r="G1412" s="229" t="s">
        <v>1</v>
      </c>
      <c r="H1412" s="405">
        <f ca="1">INDEX(PRODUTIVIDADES!$M:$M,MATCH(tbAREAS[[#This Row],[TIPO DE ÁREA]],PRODUTIVIDADES!$B:$B,0)+MATCH(tbAREAS[[#This Row],[LOCALIDADE]],PRODUTIVIDADES!$A:$A,0)-3)*tbAREAS[[#This Row],[ÁREA EM M²]]</f>
        <v>11.0959</v>
      </c>
      <c r="L1412" s="391"/>
    </row>
    <row r="1413" spans="1:12" hidden="1" x14ac:dyDescent="0.25">
      <c r="A1413" s="228" t="s">
        <v>2</v>
      </c>
      <c r="B1413" s="229" t="s">
        <v>111</v>
      </c>
      <c r="C1413" s="230" t="s">
        <v>495</v>
      </c>
      <c r="D1413" s="230" t="s">
        <v>496</v>
      </c>
      <c r="E1413" s="229" t="s">
        <v>22</v>
      </c>
      <c r="F1413" s="231">
        <v>65.27</v>
      </c>
      <c r="G1413" s="229" t="s">
        <v>1</v>
      </c>
      <c r="H1413" s="405">
        <f ca="1">INDEX(PRODUTIVIDADES!$M:$M,MATCH(tbAREAS[[#This Row],[TIPO DE ÁREA]],PRODUTIVIDADES!$B:$B,0)+MATCH(tbAREAS[[#This Row],[LOCALIDADE]],PRODUTIVIDADES!$A:$A,0)-3)*tbAREAS[[#This Row],[ÁREA EM M²]]</f>
        <v>26.108000000000001</v>
      </c>
      <c r="L1413" s="391"/>
    </row>
    <row r="1414" spans="1:12" hidden="1" x14ac:dyDescent="0.25">
      <c r="A1414" s="228" t="s">
        <v>2</v>
      </c>
      <c r="B1414" s="229" t="s">
        <v>497</v>
      </c>
      <c r="C1414" s="230" t="s">
        <v>498</v>
      </c>
      <c r="D1414" s="230" t="s">
        <v>499</v>
      </c>
      <c r="E1414" s="229" t="s">
        <v>10</v>
      </c>
      <c r="F1414" s="231">
        <v>1055.19</v>
      </c>
      <c r="G1414" s="229" t="s">
        <v>1</v>
      </c>
      <c r="H1414" s="405">
        <f ca="1">INDEX(PRODUTIVIDADES!$M:$M,MATCH(tbAREAS[[#This Row],[TIPO DE ÁREA]],PRODUTIVIDADES!$B:$B,0)+MATCH(tbAREAS[[#This Row],[LOCALIDADE]],PRODUTIVIDADES!$A:$A,0)-3)*tbAREAS[[#This Row],[ÁREA EM M²]]</f>
        <v>3292.1928000000003</v>
      </c>
      <c r="L1414" s="391"/>
    </row>
    <row r="1415" spans="1:12" hidden="1" x14ac:dyDescent="0.25">
      <c r="A1415" s="228" t="s">
        <v>2</v>
      </c>
      <c r="B1415" s="229" t="s">
        <v>497</v>
      </c>
      <c r="C1415" s="230" t="s">
        <v>498</v>
      </c>
      <c r="D1415" s="230" t="s">
        <v>499</v>
      </c>
      <c r="E1415" s="229" t="s">
        <v>15</v>
      </c>
      <c r="F1415" s="231">
        <v>28.8</v>
      </c>
      <c r="G1415" s="229" t="s">
        <v>1</v>
      </c>
      <c r="H1415" s="405">
        <f ca="1">INDEX(PRODUTIVIDADES!$M:$M,MATCH(tbAREAS[[#This Row],[TIPO DE ÁREA]],PRODUTIVIDADES!$B:$B,0)+MATCH(tbAREAS[[#This Row],[LOCALIDADE]],PRODUTIVIDADES!$A:$A,0)-3)*tbAREAS[[#This Row],[ÁREA EM M²]]</f>
        <v>19.872</v>
      </c>
      <c r="L1415" s="391"/>
    </row>
    <row r="1416" spans="1:12" hidden="1" x14ac:dyDescent="0.25">
      <c r="A1416" s="228" t="s">
        <v>2</v>
      </c>
      <c r="B1416" s="229" t="s">
        <v>497</v>
      </c>
      <c r="C1416" s="230" t="s">
        <v>498</v>
      </c>
      <c r="D1416" s="230" t="s">
        <v>499</v>
      </c>
      <c r="E1416" s="229" t="s">
        <v>17</v>
      </c>
      <c r="F1416" s="231">
        <v>241.01</v>
      </c>
      <c r="G1416" s="229" t="s">
        <v>1</v>
      </c>
      <c r="H1416" s="405">
        <f ca="1">INDEX(PRODUTIVIDADES!$M:$M,MATCH(tbAREAS[[#This Row],[TIPO DE ÁREA]],PRODUTIVIDADES!$B:$B,0)+MATCH(tbAREAS[[#This Row],[LOCALIDADE]],PRODUTIVIDADES!$A:$A,0)-3)*tbAREAS[[#This Row],[ÁREA EM M²]]</f>
        <v>563.96339999999998</v>
      </c>
      <c r="L1416" s="391"/>
    </row>
    <row r="1417" spans="1:12" hidden="1" x14ac:dyDescent="0.25">
      <c r="A1417" s="228" t="s">
        <v>2</v>
      </c>
      <c r="B1417" s="229" t="s">
        <v>497</v>
      </c>
      <c r="C1417" s="230" t="s">
        <v>498</v>
      </c>
      <c r="D1417" s="230" t="s">
        <v>499</v>
      </c>
      <c r="E1417" s="229" t="s">
        <v>18</v>
      </c>
      <c r="F1417" s="231">
        <v>120.26</v>
      </c>
      <c r="G1417" s="229" t="s">
        <v>1</v>
      </c>
      <c r="H1417" s="405">
        <f ca="1">INDEX(PRODUTIVIDADES!$M:$M,MATCH(tbAREAS[[#This Row],[TIPO DE ÁREA]],PRODUTIVIDADES!$B:$B,0)+MATCH(tbAREAS[[#This Row],[LOCALIDADE]],PRODUTIVIDADES!$A:$A,0)-3)*tbAREAS[[#This Row],[ÁREA EM M²]]</f>
        <v>5453.7910000000002</v>
      </c>
      <c r="L1417" s="391"/>
    </row>
    <row r="1418" spans="1:12" hidden="1" x14ac:dyDescent="0.25">
      <c r="A1418" s="228" t="s">
        <v>2</v>
      </c>
      <c r="B1418" s="229" t="s">
        <v>497</v>
      </c>
      <c r="C1418" s="230" t="s">
        <v>498</v>
      </c>
      <c r="D1418" s="230" t="s">
        <v>499</v>
      </c>
      <c r="E1418" s="229" t="s">
        <v>20</v>
      </c>
      <c r="F1418" s="231">
        <v>131.13999999999999</v>
      </c>
      <c r="G1418" s="229" t="s">
        <v>1</v>
      </c>
      <c r="H1418" s="405">
        <f ca="1">INDEX(PRODUTIVIDADES!$M:$M,MATCH(tbAREAS[[#This Row],[TIPO DE ÁREA]],PRODUTIVIDADES!$B:$B,0)+MATCH(tbAREAS[[#This Row],[LOCALIDADE]],PRODUTIVIDADES!$A:$A,0)-3)*tbAREAS[[#This Row],[ÁREA EM M²]]</f>
        <v>102.28919999999999</v>
      </c>
      <c r="L1418" s="391"/>
    </row>
    <row r="1419" spans="1:12" hidden="1" x14ac:dyDescent="0.25">
      <c r="A1419" s="228" t="s">
        <v>2</v>
      </c>
      <c r="B1419" s="229" t="s">
        <v>93</v>
      </c>
      <c r="C1419" s="230" t="s">
        <v>500</v>
      </c>
      <c r="D1419" s="230" t="s">
        <v>501</v>
      </c>
      <c r="E1419" s="229" t="s">
        <v>15</v>
      </c>
      <c r="F1419" s="231">
        <v>283.87</v>
      </c>
      <c r="G1419" s="229" t="s">
        <v>1</v>
      </c>
      <c r="H1419" s="405">
        <f ca="1">INDEX(PRODUTIVIDADES!$M:$M,MATCH(tbAREAS[[#This Row],[TIPO DE ÁREA]],PRODUTIVIDADES!$B:$B,0)+MATCH(tbAREAS[[#This Row],[LOCALIDADE]],PRODUTIVIDADES!$A:$A,0)-3)*tbAREAS[[#This Row],[ÁREA EM M²]]</f>
        <v>195.87029999999999</v>
      </c>
      <c r="L1419" s="391"/>
    </row>
    <row r="1420" spans="1:12" hidden="1" x14ac:dyDescent="0.25">
      <c r="A1420" s="228" t="s">
        <v>2</v>
      </c>
      <c r="B1420" s="229" t="s">
        <v>93</v>
      </c>
      <c r="C1420" s="230" t="s">
        <v>500</v>
      </c>
      <c r="D1420" s="230" t="s">
        <v>501</v>
      </c>
      <c r="E1420" s="229" t="s">
        <v>21</v>
      </c>
      <c r="F1420" s="231">
        <v>14.4</v>
      </c>
      <c r="G1420" s="229" t="s">
        <v>1</v>
      </c>
      <c r="H1420" s="405">
        <f ca="1">INDEX(PRODUTIVIDADES!$M:$M,MATCH(tbAREAS[[#This Row],[TIPO DE ÁREA]],PRODUTIVIDADES!$B:$B,0)+MATCH(tbAREAS[[#This Row],[LOCALIDADE]],PRODUTIVIDADES!$A:$A,0)-3)*tbAREAS[[#This Row],[ÁREA EM M²]]</f>
        <v>2.4480000000000004</v>
      </c>
      <c r="L1420" s="391"/>
    </row>
    <row r="1421" spans="1:12" hidden="1" x14ac:dyDescent="0.25">
      <c r="A1421" s="228" t="s">
        <v>2</v>
      </c>
      <c r="B1421" s="229" t="s">
        <v>93</v>
      </c>
      <c r="C1421" s="230" t="s">
        <v>500</v>
      </c>
      <c r="D1421" s="230" t="s">
        <v>501</v>
      </c>
      <c r="E1421" s="229" t="s">
        <v>22</v>
      </c>
      <c r="F1421" s="231">
        <v>14.4</v>
      </c>
      <c r="G1421" s="229" t="s">
        <v>1</v>
      </c>
      <c r="H1421" s="405">
        <f ca="1">INDEX(PRODUTIVIDADES!$M:$M,MATCH(tbAREAS[[#This Row],[TIPO DE ÁREA]],PRODUTIVIDADES!$B:$B,0)+MATCH(tbAREAS[[#This Row],[LOCALIDADE]],PRODUTIVIDADES!$A:$A,0)-3)*tbAREAS[[#This Row],[ÁREA EM M²]]</f>
        <v>5.7600000000000007</v>
      </c>
      <c r="L1421" s="391"/>
    </row>
    <row r="1422" spans="1:12" hidden="1" x14ac:dyDescent="0.25">
      <c r="A1422" s="228" t="s">
        <v>2</v>
      </c>
      <c r="B1422" s="229" t="s">
        <v>93</v>
      </c>
      <c r="C1422" s="230" t="s">
        <v>502</v>
      </c>
      <c r="D1422" s="230" t="s">
        <v>501</v>
      </c>
      <c r="E1422" s="229" t="s">
        <v>10</v>
      </c>
      <c r="F1422" s="231">
        <v>102.06</v>
      </c>
      <c r="G1422" s="229" t="s">
        <v>1</v>
      </c>
      <c r="H1422" s="405">
        <f ca="1">INDEX(PRODUTIVIDADES!$M:$M,MATCH(tbAREAS[[#This Row],[TIPO DE ÁREA]],PRODUTIVIDADES!$B:$B,0)+MATCH(tbAREAS[[#This Row],[LOCALIDADE]],PRODUTIVIDADES!$A:$A,0)-3)*tbAREAS[[#This Row],[ÁREA EM M²]]</f>
        <v>318.42720000000003</v>
      </c>
      <c r="L1422" s="391"/>
    </row>
    <row r="1423" spans="1:12" hidden="1" x14ac:dyDescent="0.25">
      <c r="A1423" s="228" t="s">
        <v>2</v>
      </c>
      <c r="B1423" s="229" t="s">
        <v>93</v>
      </c>
      <c r="C1423" s="230" t="s">
        <v>502</v>
      </c>
      <c r="D1423" s="230" t="s">
        <v>501</v>
      </c>
      <c r="E1423" s="229" t="s">
        <v>15</v>
      </c>
      <c r="F1423" s="231">
        <v>223.65000000000009</v>
      </c>
      <c r="G1423" s="229" t="s">
        <v>1</v>
      </c>
      <c r="H1423" s="405">
        <f ca="1">INDEX(PRODUTIVIDADES!$M:$M,MATCH(tbAREAS[[#This Row],[TIPO DE ÁREA]],PRODUTIVIDADES!$B:$B,0)+MATCH(tbAREAS[[#This Row],[LOCALIDADE]],PRODUTIVIDADES!$A:$A,0)-3)*tbAREAS[[#This Row],[ÁREA EM M²]]</f>
        <v>154.31850000000006</v>
      </c>
      <c r="L1423" s="391"/>
    </row>
    <row r="1424" spans="1:12" hidden="1" x14ac:dyDescent="0.25">
      <c r="A1424" s="228" t="s">
        <v>2</v>
      </c>
      <c r="B1424" s="229" t="s">
        <v>93</v>
      </c>
      <c r="C1424" s="230" t="s">
        <v>502</v>
      </c>
      <c r="D1424" s="230" t="s">
        <v>501</v>
      </c>
      <c r="E1424" s="229" t="s">
        <v>17</v>
      </c>
      <c r="F1424" s="231">
        <v>49.509999999999991</v>
      </c>
      <c r="G1424" s="229" t="s">
        <v>1</v>
      </c>
      <c r="H1424" s="405">
        <f ca="1">INDEX(PRODUTIVIDADES!$M:$M,MATCH(tbAREAS[[#This Row],[TIPO DE ÁREA]],PRODUTIVIDADES!$B:$B,0)+MATCH(tbAREAS[[#This Row],[LOCALIDADE]],PRODUTIVIDADES!$A:$A,0)-3)*tbAREAS[[#This Row],[ÁREA EM M²]]</f>
        <v>115.85339999999997</v>
      </c>
      <c r="L1424" s="391"/>
    </row>
    <row r="1425" spans="1:12" hidden="1" x14ac:dyDescent="0.25">
      <c r="A1425" s="228" t="s">
        <v>2</v>
      </c>
      <c r="B1425" s="229" t="s">
        <v>93</v>
      </c>
      <c r="C1425" s="230" t="s">
        <v>502</v>
      </c>
      <c r="D1425" s="230" t="s">
        <v>501</v>
      </c>
      <c r="E1425" s="229" t="s">
        <v>18</v>
      </c>
      <c r="F1425" s="231">
        <v>8.4499999999999993</v>
      </c>
      <c r="G1425" s="229" t="s">
        <v>1</v>
      </c>
      <c r="H1425" s="405">
        <f ca="1">INDEX(PRODUTIVIDADES!$M:$M,MATCH(tbAREAS[[#This Row],[TIPO DE ÁREA]],PRODUTIVIDADES!$B:$B,0)+MATCH(tbAREAS[[#This Row],[LOCALIDADE]],PRODUTIVIDADES!$A:$A,0)-3)*tbAREAS[[#This Row],[ÁREA EM M²]]</f>
        <v>383.20749999999998</v>
      </c>
      <c r="L1425" s="391"/>
    </row>
    <row r="1426" spans="1:12" hidden="1" x14ac:dyDescent="0.25">
      <c r="A1426" s="228" t="s">
        <v>2</v>
      </c>
      <c r="B1426" s="229" t="s">
        <v>93</v>
      </c>
      <c r="C1426" s="230" t="s">
        <v>502</v>
      </c>
      <c r="D1426" s="230" t="s">
        <v>501</v>
      </c>
      <c r="E1426" s="229" t="s">
        <v>21</v>
      </c>
      <c r="F1426" s="231">
        <v>221</v>
      </c>
      <c r="G1426" s="229" t="s">
        <v>1</v>
      </c>
      <c r="H1426" s="405">
        <f ca="1">INDEX(PRODUTIVIDADES!$M:$M,MATCH(tbAREAS[[#This Row],[TIPO DE ÁREA]],PRODUTIVIDADES!$B:$B,0)+MATCH(tbAREAS[[#This Row],[LOCALIDADE]],PRODUTIVIDADES!$A:$A,0)-3)*tbAREAS[[#This Row],[ÁREA EM M²]]</f>
        <v>37.57</v>
      </c>
      <c r="L1426" s="391"/>
    </row>
    <row r="1427" spans="1:12" hidden="1" x14ac:dyDescent="0.25">
      <c r="A1427" s="228" t="s">
        <v>2</v>
      </c>
      <c r="B1427" s="229" t="s">
        <v>93</v>
      </c>
      <c r="C1427" s="230" t="s">
        <v>502</v>
      </c>
      <c r="D1427" s="230" t="s">
        <v>501</v>
      </c>
      <c r="E1427" s="229" t="s">
        <v>22</v>
      </c>
      <c r="F1427" s="231">
        <v>221</v>
      </c>
      <c r="G1427" s="229" t="s">
        <v>1</v>
      </c>
      <c r="H1427" s="405">
        <f ca="1">INDEX(PRODUTIVIDADES!$M:$M,MATCH(tbAREAS[[#This Row],[TIPO DE ÁREA]],PRODUTIVIDADES!$B:$B,0)+MATCH(tbAREAS[[#This Row],[LOCALIDADE]],PRODUTIVIDADES!$A:$A,0)-3)*tbAREAS[[#This Row],[ÁREA EM M²]]</f>
        <v>88.4</v>
      </c>
      <c r="L1427" s="391"/>
    </row>
    <row r="1428" spans="1:12" hidden="1" x14ac:dyDescent="0.25">
      <c r="A1428" s="228" t="s">
        <v>2</v>
      </c>
      <c r="B1428" s="229" t="s">
        <v>260</v>
      </c>
      <c r="C1428" s="230" t="s">
        <v>503</v>
      </c>
      <c r="D1428" s="230" t="s">
        <v>504</v>
      </c>
      <c r="E1428" s="229" t="s">
        <v>9</v>
      </c>
      <c r="F1428" s="231">
        <v>76.400000000000006</v>
      </c>
      <c r="G1428" s="229" t="s">
        <v>1</v>
      </c>
      <c r="H1428" s="405">
        <f ca="1">INDEX(PRODUTIVIDADES!$M:$M,MATCH(tbAREAS[[#This Row],[TIPO DE ÁREA]],PRODUTIVIDADES!$B:$B,0)+MATCH(tbAREAS[[#This Row],[LOCALIDADE]],PRODUTIVIDADES!$A:$A,0)-3)*tbAREAS[[#This Row],[ÁREA EM M²]]</f>
        <v>595.92000000000007</v>
      </c>
      <c r="L1428" s="391"/>
    </row>
    <row r="1429" spans="1:12" hidden="1" x14ac:dyDescent="0.25">
      <c r="A1429" s="228" t="s">
        <v>2</v>
      </c>
      <c r="B1429" s="229" t="s">
        <v>260</v>
      </c>
      <c r="C1429" s="230" t="s">
        <v>503</v>
      </c>
      <c r="D1429" s="230" t="s">
        <v>504</v>
      </c>
      <c r="E1429" s="229" t="s">
        <v>10</v>
      </c>
      <c r="F1429" s="231">
        <v>104.5</v>
      </c>
      <c r="G1429" s="229" t="s">
        <v>1</v>
      </c>
      <c r="H1429" s="405">
        <f ca="1">INDEX(PRODUTIVIDADES!$M:$M,MATCH(tbAREAS[[#This Row],[TIPO DE ÁREA]],PRODUTIVIDADES!$B:$B,0)+MATCH(tbAREAS[[#This Row],[LOCALIDADE]],PRODUTIVIDADES!$A:$A,0)-3)*tbAREAS[[#This Row],[ÁREA EM M²]]</f>
        <v>326.04000000000002</v>
      </c>
      <c r="L1429" s="391"/>
    </row>
    <row r="1430" spans="1:12" hidden="1" x14ac:dyDescent="0.25">
      <c r="A1430" s="228" t="s">
        <v>2</v>
      </c>
      <c r="B1430" s="229" t="s">
        <v>260</v>
      </c>
      <c r="C1430" s="230" t="s">
        <v>503</v>
      </c>
      <c r="D1430" s="230" t="s">
        <v>504</v>
      </c>
      <c r="E1430" s="229" t="s">
        <v>14</v>
      </c>
      <c r="F1430" s="231">
        <v>825.36</v>
      </c>
      <c r="G1430" s="229" t="s">
        <v>1</v>
      </c>
      <c r="H1430" s="405">
        <f ca="1">INDEX(PRODUTIVIDADES!$M:$M,MATCH(tbAREAS[[#This Row],[TIPO DE ÁREA]],PRODUTIVIDADES!$B:$B,0)+MATCH(tbAREAS[[#This Row],[LOCALIDADE]],PRODUTIVIDADES!$A:$A,0)-3)*tbAREAS[[#This Row],[ÁREA EM M²]]</f>
        <v>7015.56</v>
      </c>
      <c r="L1430" s="391"/>
    </row>
    <row r="1431" spans="1:12" hidden="1" x14ac:dyDescent="0.25">
      <c r="A1431" s="228" t="s">
        <v>2</v>
      </c>
      <c r="B1431" s="229" t="s">
        <v>260</v>
      </c>
      <c r="C1431" s="230" t="s">
        <v>503</v>
      </c>
      <c r="D1431" s="230" t="s">
        <v>504</v>
      </c>
      <c r="E1431" s="229" t="s">
        <v>15</v>
      </c>
      <c r="F1431" s="231">
        <v>9.9</v>
      </c>
      <c r="G1431" s="229" t="s">
        <v>1</v>
      </c>
      <c r="H1431" s="405">
        <f ca="1">INDEX(PRODUTIVIDADES!$M:$M,MATCH(tbAREAS[[#This Row],[TIPO DE ÁREA]],PRODUTIVIDADES!$B:$B,0)+MATCH(tbAREAS[[#This Row],[LOCALIDADE]],PRODUTIVIDADES!$A:$A,0)-3)*tbAREAS[[#This Row],[ÁREA EM M²]]</f>
        <v>6.8309999999999995</v>
      </c>
      <c r="L1431" s="391"/>
    </row>
    <row r="1432" spans="1:12" hidden="1" x14ac:dyDescent="0.25">
      <c r="A1432" s="228" t="s">
        <v>2</v>
      </c>
      <c r="B1432" s="229" t="s">
        <v>260</v>
      </c>
      <c r="C1432" s="230" t="s">
        <v>503</v>
      </c>
      <c r="D1432" s="230" t="s">
        <v>504</v>
      </c>
      <c r="E1432" s="229" t="s">
        <v>17</v>
      </c>
      <c r="F1432" s="231">
        <v>400.2</v>
      </c>
      <c r="G1432" s="229" t="s">
        <v>1</v>
      </c>
      <c r="H1432" s="405">
        <f ca="1">INDEX(PRODUTIVIDADES!$M:$M,MATCH(tbAREAS[[#This Row],[TIPO DE ÁREA]],PRODUTIVIDADES!$B:$B,0)+MATCH(tbAREAS[[#This Row],[LOCALIDADE]],PRODUTIVIDADES!$A:$A,0)-3)*tbAREAS[[#This Row],[ÁREA EM M²]]</f>
        <v>936.46799999999996</v>
      </c>
      <c r="L1432" s="391"/>
    </row>
    <row r="1433" spans="1:12" hidden="1" x14ac:dyDescent="0.25">
      <c r="A1433" s="228" t="s">
        <v>2</v>
      </c>
      <c r="B1433" s="229" t="s">
        <v>260</v>
      </c>
      <c r="C1433" s="230" t="s">
        <v>503</v>
      </c>
      <c r="D1433" s="230" t="s">
        <v>504</v>
      </c>
      <c r="E1433" s="229" t="s">
        <v>18</v>
      </c>
      <c r="F1433" s="231">
        <v>125.44</v>
      </c>
      <c r="G1433" s="229" t="s">
        <v>1</v>
      </c>
      <c r="H1433" s="405">
        <f ca="1">INDEX(PRODUTIVIDADES!$M:$M,MATCH(tbAREAS[[#This Row],[TIPO DE ÁREA]],PRODUTIVIDADES!$B:$B,0)+MATCH(tbAREAS[[#This Row],[LOCALIDADE]],PRODUTIVIDADES!$A:$A,0)-3)*tbAREAS[[#This Row],[ÁREA EM M²]]</f>
        <v>5688.7039999999997</v>
      </c>
      <c r="L1433" s="391"/>
    </row>
    <row r="1434" spans="1:12" hidden="1" x14ac:dyDescent="0.25">
      <c r="A1434" s="228" t="s">
        <v>2</v>
      </c>
      <c r="B1434" s="229" t="s">
        <v>260</v>
      </c>
      <c r="C1434" s="230" t="s">
        <v>503</v>
      </c>
      <c r="D1434" s="230" t="s">
        <v>504</v>
      </c>
      <c r="E1434" s="229" t="s">
        <v>20</v>
      </c>
      <c r="F1434" s="231">
        <v>8.25</v>
      </c>
      <c r="G1434" s="229" t="s">
        <v>1</v>
      </c>
      <c r="H1434" s="405">
        <f ca="1">INDEX(PRODUTIVIDADES!$M:$M,MATCH(tbAREAS[[#This Row],[TIPO DE ÁREA]],PRODUTIVIDADES!$B:$B,0)+MATCH(tbAREAS[[#This Row],[LOCALIDADE]],PRODUTIVIDADES!$A:$A,0)-3)*tbAREAS[[#This Row],[ÁREA EM M²]]</f>
        <v>6.4350000000000005</v>
      </c>
      <c r="L1434" s="391"/>
    </row>
    <row r="1435" spans="1:12" hidden="1" x14ac:dyDescent="0.25">
      <c r="A1435" s="228" t="s">
        <v>2</v>
      </c>
      <c r="B1435" s="229" t="s">
        <v>260</v>
      </c>
      <c r="C1435" s="230" t="s">
        <v>503</v>
      </c>
      <c r="D1435" s="230" t="s">
        <v>504</v>
      </c>
      <c r="E1435" s="229" t="s">
        <v>21</v>
      </c>
      <c r="F1435" s="231">
        <v>614.54</v>
      </c>
      <c r="G1435" s="229" t="s">
        <v>1</v>
      </c>
      <c r="H1435" s="405">
        <f ca="1">INDEX(PRODUTIVIDADES!$M:$M,MATCH(tbAREAS[[#This Row],[TIPO DE ÁREA]],PRODUTIVIDADES!$B:$B,0)+MATCH(tbAREAS[[#This Row],[LOCALIDADE]],PRODUTIVIDADES!$A:$A,0)-3)*tbAREAS[[#This Row],[ÁREA EM M²]]</f>
        <v>104.4718</v>
      </c>
      <c r="L1435" s="391"/>
    </row>
    <row r="1436" spans="1:12" hidden="1" x14ac:dyDescent="0.25">
      <c r="A1436" s="228" t="s">
        <v>2</v>
      </c>
      <c r="B1436" s="229" t="s">
        <v>260</v>
      </c>
      <c r="C1436" s="230" t="s">
        <v>503</v>
      </c>
      <c r="D1436" s="230" t="s">
        <v>504</v>
      </c>
      <c r="E1436" s="229" t="s">
        <v>22</v>
      </c>
      <c r="F1436" s="231">
        <v>614.54</v>
      </c>
      <c r="G1436" s="229" t="s">
        <v>1</v>
      </c>
      <c r="H1436" s="405">
        <f ca="1">INDEX(PRODUTIVIDADES!$M:$M,MATCH(tbAREAS[[#This Row],[TIPO DE ÁREA]],PRODUTIVIDADES!$B:$B,0)+MATCH(tbAREAS[[#This Row],[LOCALIDADE]],PRODUTIVIDADES!$A:$A,0)-3)*tbAREAS[[#This Row],[ÁREA EM M²]]</f>
        <v>245.816</v>
      </c>
      <c r="L1436" s="391"/>
    </row>
    <row r="1437" spans="1:12" hidden="1" x14ac:dyDescent="0.25">
      <c r="A1437" s="228" t="s">
        <v>2</v>
      </c>
      <c r="B1437" s="229" t="s">
        <v>497</v>
      </c>
      <c r="C1437" s="230" t="s">
        <v>505</v>
      </c>
      <c r="D1437" s="230" t="s">
        <v>506</v>
      </c>
      <c r="E1437" s="229" t="s">
        <v>10</v>
      </c>
      <c r="F1437" s="231">
        <v>704.14</v>
      </c>
      <c r="G1437" s="229" t="s">
        <v>1</v>
      </c>
      <c r="H1437" s="405">
        <f ca="1">INDEX(PRODUTIVIDADES!$M:$M,MATCH(tbAREAS[[#This Row],[TIPO DE ÁREA]],PRODUTIVIDADES!$B:$B,0)+MATCH(tbAREAS[[#This Row],[LOCALIDADE]],PRODUTIVIDADES!$A:$A,0)-3)*tbAREAS[[#This Row],[ÁREA EM M²]]</f>
        <v>2196.9168</v>
      </c>
      <c r="L1437" s="391"/>
    </row>
    <row r="1438" spans="1:12" hidden="1" x14ac:dyDescent="0.25">
      <c r="A1438" s="228" t="s">
        <v>2</v>
      </c>
      <c r="B1438" s="229" t="s">
        <v>497</v>
      </c>
      <c r="C1438" s="230" t="s">
        <v>505</v>
      </c>
      <c r="D1438" s="230" t="s">
        <v>506</v>
      </c>
      <c r="E1438" s="229" t="s">
        <v>13</v>
      </c>
      <c r="F1438" s="231">
        <v>87.6</v>
      </c>
      <c r="G1438" s="229" t="s">
        <v>1</v>
      </c>
      <c r="H1438" s="405">
        <f ca="1">INDEX(PRODUTIVIDADES!$M:$M,MATCH(tbAREAS[[#This Row],[TIPO DE ÁREA]],PRODUTIVIDADES!$B:$B,0)+MATCH(tbAREAS[[#This Row],[LOCALIDADE]],PRODUTIVIDADES!$A:$A,0)-3)*tbAREAS[[#This Row],[ÁREA EM M²]]</f>
        <v>273.31200000000001</v>
      </c>
      <c r="L1438" s="391"/>
    </row>
    <row r="1439" spans="1:12" hidden="1" x14ac:dyDescent="0.25">
      <c r="A1439" s="228" t="s">
        <v>2</v>
      </c>
      <c r="B1439" s="229" t="s">
        <v>497</v>
      </c>
      <c r="C1439" s="230" t="s">
        <v>505</v>
      </c>
      <c r="D1439" s="230" t="s">
        <v>506</v>
      </c>
      <c r="E1439" s="229" t="s">
        <v>17</v>
      </c>
      <c r="F1439" s="231">
        <v>164.46</v>
      </c>
      <c r="G1439" s="229" t="s">
        <v>1</v>
      </c>
      <c r="H1439" s="405">
        <f ca="1">INDEX(PRODUTIVIDADES!$M:$M,MATCH(tbAREAS[[#This Row],[TIPO DE ÁREA]],PRODUTIVIDADES!$B:$B,0)+MATCH(tbAREAS[[#This Row],[LOCALIDADE]],PRODUTIVIDADES!$A:$A,0)-3)*tbAREAS[[#This Row],[ÁREA EM M²]]</f>
        <v>384.83639999999997</v>
      </c>
      <c r="L1439" s="391"/>
    </row>
    <row r="1440" spans="1:12" hidden="1" x14ac:dyDescent="0.25">
      <c r="A1440" s="228" t="s">
        <v>2</v>
      </c>
      <c r="B1440" s="229" t="s">
        <v>497</v>
      </c>
      <c r="C1440" s="230" t="s">
        <v>505</v>
      </c>
      <c r="D1440" s="230" t="s">
        <v>506</v>
      </c>
      <c r="E1440" s="229" t="s">
        <v>18</v>
      </c>
      <c r="F1440" s="231">
        <v>38.159999999999997</v>
      </c>
      <c r="G1440" s="229" t="s">
        <v>1</v>
      </c>
      <c r="H1440" s="405">
        <f ca="1">INDEX(PRODUTIVIDADES!$M:$M,MATCH(tbAREAS[[#This Row],[TIPO DE ÁREA]],PRODUTIVIDADES!$B:$B,0)+MATCH(tbAREAS[[#This Row],[LOCALIDADE]],PRODUTIVIDADES!$A:$A,0)-3)*tbAREAS[[#This Row],[ÁREA EM M²]]</f>
        <v>1730.5559999999998</v>
      </c>
      <c r="L1440" s="391"/>
    </row>
    <row r="1441" spans="1:12" hidden="1" x14ac:dyDescent="0.25">
      <c r="A1441" s="228" t="s">
        <v>2</v>
      </c>
      <c r="B1441" s="229" t="s">
        <v>497</v>
      </c>
      <c r="C1441" s="230" t="s">
        <v>505</v>
      </c>
      <c r="D1441" s="230" t="s">
        <v>506</v>
      </c>
      <c r="E1441" s="229" t="s">
        <v>21</v>
      </c>
      <c r="F1441" s="231">
        <v>142</v>
      </c>
      <c r="G1441" s="229" t="s">
        <v>1</v>
      </c>
      <c r="H1441" s="405">
        <f ca="1">INDEX(PRODUTIVIDADES!$M:$M,MATCH(tbAREAS[[#This Row],[TIPO DE ÁREA]],PRODUTIVIDADES!$B:$B,0)+MATCH(tbAREAS[[#This Row],[LOCALIDADE]],PRODUTIVIDADES!$A:$A,0)-3)*tbAREAS[[#This Row],[ÁREA EM M²]]</f>
        <v>24.14</v>
      </c>
      <c r="L1441" s="391"/>
    </row>
    <row r="1442" spans="1:12" hidden="1" x14ac:dyDescent="0.25">
      <c r="A1442" s="228" t="s">
        <v>2</v>
      </c>
      <c r="B1442" s="229" t="s">
        <v>497</v>
      </c>
      <c r="C1442" s="230" t="s">
        <v>505</v>
      </c>
      <c r="D1442" s="230" t="s">
        <v>506</v>
      </c>
      <c r="E1442" s="229" t="s">
        <v>22</v>
      </c>
      <c r="F1442" s="231">
        <v>142</v>
      </c>
      <c r="G1442" s="229" t="s">
        <v>1</v>
      </c>
      <c r="H1442" s="405">
        <f ca="1">INDEX(PRODUTIVIDADES!$M:$M,MATCH(tbAREAS[[#This Row],[TIPO DE ÁREA]],PRODUTIVIDADES!$B:$B,0)+MATCH(tbAREAS[[#This Row],[LOCALIDADE]],PRODUTIVIDADES!$A:$A,0)-3)*tbAREAS[[#This Row],[ÁREA EM M²]]</f>
        <v>56.800000000000004</v>
      </c>
      <c r="L1442" s="391"/>
    </row>
    <row r="1443" spans="1:12" hidden="1" x14ac:dyDescent="0.25">
      <c r="A1443" s="228" t="s">
        <v>2</v>
      </c>
      <c r="B1443" s="229" t="s">
        <v>109</v>
      </c>
      <c r="C1443" s="230" t="s">
        <v>507</v>
      </c>
      <c r="D1443" s="230" t="s">
        <v>508</v>
      </c>
      <c r="E1443" s="229" t="s">
        <v>9</v>
      </c>
      <c r="F1443" s="231">
        <v>111.43</v>
      </c>
      <c r="G1443" s="229" t="s">
        <v>1</v>
      </c>
      <c r="H1443" s="405">
        <f ca="1">INDEX(PRODUTIVIDADES!$M:$M,MATCH(tbAREAS[[#This Row],[TIPO DE ÁREA]],PRODUTIVIDADES!$B:$B,0)+MATCH(tbAREAS[[#This Row],[LOCALIDADE]],PRODUTIVIDADES!$A:$A,0)-3)*tbAREAS[[#This Row],[ÁREA EM M²]]</f>
        <v>869.154</v>
      </c>
      <c r="L1443" s="391"/>
    </row>
    <row r="1444" spans="1:12" hidden="1" x14ac:dyDescent="0.25">
      <c r="A1444" s="228" t="s">
        <v>2</v>
      </c>
      <c r="B1444" s="229" t="s">
        <v>109</v>
      </c>
      <c r="C1444" s="230" t="s">
        <v>507</v>
      </c>
      <c r="D1444" s="230" t="s">
        <v>508</v>
      </c>
      <c r="E1444" s="229" t="s">
        <v>10</v>
      </c>
      <c r="F1444" s="231">
        <f>612.51+12.76</f>
        <v>625.27</v>
      </c>
      <c r="G1444" s="229" t="s">
        <v>1</v>
      </c>
      <c r="H1444" s="405">
        <f ca="1">INDEX(PRODUTIVIDADES!$M:$M,MATCH(tbAREAS[[#This Row],[TIPO DE ÁREA]],PRODUTIVIDADES!$B:$B,0)+MATCH(tbAREAS[[#This Row],[LOCALIDADE]],PRODUTIVIDADES!$A:$A,0)-3)*tbAREAS[[#This Row],[ÁREA EM M²]]</f>
        <v>1950.8424</v>
      </c>
      <c r="L1444" s="391"/>
    </row>
    <row r="1445" spans="1:12" hidden="1" x14ac:dyDescent="0.25">
      <c r="A1445" s="228" t="s">
        <v>2</v>
      </c>
      <c r="B1445" s="229" t="s">
        <v>109</v>
      </c>
      <c r="C1445" s="230" t="s">
        <v>507</v>
      </c>
      <c r="D1445" s="230" t="s">
        <v>508</v>
      </c>
      <c r="E1445" s="229" t="s">
        <v>13</v>
      </c>
      <c r="F1445" s="231">
        <v>162.34</v>
      </c>
      <c r="G1445" s="229" t="s">
        <v>1</v>
      </c>
      <c r="H1445" s="405">
        <f ca="1">INDEX(PRODUTIVIDADES!$M:$M,MATCH(tbAREAS[[#This Row],[TIPO DE ÁREA]],PRODUTIVIDADES!$B:$B,0)+MATCH(tbAREAS[[#This Row],[LOCALIDADE]],PRODUTIVIDADES!$A:$A,0)-3)*tbAREAS[[#This Row],[ÁREA EM M²]]</f>
        <v>506.50080000000003</v>
      </c>
      <c r="L1445" s="391"/>
    </row>
    <row r="1446" spans="1:12" hidden="1" x14ac:dyDescent="0.25">
      <c r="A1446" s="228" t="s">
        <v>2</v>
      </c>
      <c r="B1446" s="229" t="s">
        <v>109</v>
      </c>
      <c r="C1446" s="230" t="s">
        <v>507</v>
      </c>
      <c r="D1446" s="230" t="s">
        <v>508</v>
      </c>
      <c r="E1446" s="229" t="s">
        <v>14</v>
      </c>
      <c r="F1446" s="231">
        <v>44.74</v>
      </c>
      <c r="G1446" s="229" t="s">
        <v>1</v>
      </c>
      <c r="H1446" s="405">
        <f ca="1">INDEX(PRODUTIVIDADES!$M:$M,MATCH(tbAREAS[[#This Row],[TIPO DE ÁREA]],PRODUTIVIDADES!$B:$B,0)+MATCH(tbAREAS[[#This Row],[LOCALIDADE]],PRODUTIVIDADES!$A:$A,0)-3)*tbAREAS[[#This Row],[ÁREA EM M²]]</f>
        <v>380.29</v>
      </c>
      <c r="L1446" s="391"/>
    </row>
    <row r="1447" spans="1:12" hidden="1" x14ac:dyDescent="0.25">
      <c r="A1447" s="228" t="s">
        <v>2</v>
      </c>
      <c r="B1447" s="229" t="s">
        <v>109</v>
      </c>
      <c r="C1447" s="230" t="s">
        <v>507</v>
      </c>
      <c r="D1447" s="230" t="s">
        <v>508</v>
      </c>
      <c r="E1447" s="229" t="s">
        <v>17</v>
      </c>
      <c r="F1447" s="231">
        <v>345.44</v>
      </c>
      <c r="G1447" s="229" t="s">
        <v>1</v>
      </c>
      <c r="H1447" s="405">
        <f ca="1">INDEX(PRODUTIVIDADES!$M:$M,MATCH(tbAREAS[[#This Row],[TIPO DE ÁREA]],PRODUTIVIDADES!$B:$B,0)+MATCH(tbAREAS[[#This Row],[LOCALIDADE]],PRODUTIVIDADES!$A:$A,0)-3)*tbAREAS[[#This Row],[ÁREA EM M²]]</f>
        <v>808.32959999999991</v>
      </c>
      <c r="L1447" s="391"/>
    </row>
    <row r="1448" spans="1:12" hidden="1" x14ac:dyDescent="0.25">
      <c r="A1448" s="228" t="s">
        <v>2</v>
      </c>
      <c r="B1448" s="229" t="s">
        <v>109</v>
      </c>
      <c r="C1448" s="230" t="s">
        <v>507</v>
      </c>
      <c r="D1448" s="230" t="s">
        <v>508</v>
      </c>
      <c r="E1448" s="229" t="s">
        <v>18</v>
      </c>
      <c r="F1448" s="231">
        <v>17.82</v>
      </c>
      <c r="G1448" s="229" t="s">
        <v>1</v>
      </c>
      <c r="H1448" s="405">
        <f ca="1">INDEX(PRODUTIVIDADES!$M:$M,MATCH(tbAREAS[[#This Row],[TIPO DE ÁREA]],PRODUTIVIDADES!$B:$B,0)+MATCH(tbAREAS[[#This Row],[LOCALIDADE]],PRODUTIVIDADES!$A:$A,0)-3)*tbAREAS[[#This Row],[ÁREA EM M²]]</f>
        <v>808.13700000000006</v>
      </c>
      <c r="L1448" s="391"/>
    </row>
    <row r="1449" spans="1:12" hidden="1" x14ac:dyDescent="0.25">
      <c r="A1449" s="228" t="s">
        <v>2</v>
      </c>
      <c r="B1449" s="229" t="s">
        <v>109</v>
      </c>
      <c r="C1449" s="230" t="s">
        <v>507</v>
      </c>
      <c r="D1449" s="230" t="s">
        <v>508</v>
      </c>
      <c r="E1449" s="229" t="s">
        <v>20</v>
      </c>
      <c r="F1449" s="231">
        <v>111.58</v>
      </c>
      <c r="G1449" s="229" t="s">
        <v>1</v>
      </c>
      <c r="H1449" s="405">
        <f ca="1">INDEX(PRODUTIVIDADES!$M:$M,MATCH(tbAREAS[[#This Row],[TIPO DE ÁREA]],PRODUTIVIDADES!$B:$B,0)+MATCH(tbAREAS[[#This Row],[LOCALIDADE]],PRODUTIVIDADES!$A:$A,0)-3)*tbAREAS[[#This Row],[ÁREA EM M²]]</f>
        <v>87.032399999999996</v>
      </c>
      <c r="L1449" s="391"/>
    </row>
    <row r="1450" spans="1:12" hidden="1" x14ac:dyDescent="0.25">
      <c r="A1450" s="228" t="s">
        <v>2</v>
      </c>
      <c r="B1450" s="229" t="s">
        <v>109</v>
      </c>
      <c r="C1450" s="230" t="s">
        <v>507</v>
      </c>
      <c r="D1450" s="230" t="s">
        <v>508</v>
      </c>
      <c r="E1450" s="229" t="s">
        <v>21</v>
      </c>
      <c r="F1450" s="231">
        <v>238.25</v>
      </c>
      <c r="G1450" s="229" t="s">
        <v>1</v>
      </c>
      <c r="H1450" s="405">
        <f ca="1">INDEX(PRODUTIVIDADES!$M:$M,MATCH(tbAREAS[[#This Row],[TIPO DE ÁREA]],PRODUTIVIDADES!$B:$B,0)+MATCH(tbAREAS[[#This Row],[LOCALIDADE]],PRODUTIVIDADES!$A:$A,0)-3)*tbAREAS[[#This Row],[ÁREA EM M²]]</f>
        <v>40.502500000000005</v>
      </c>
      <c r="L1450" s="391"/>
    </row>
    <row r="1451" spans="1:12" hidden="1" x14ac:dyDescent="0.25">
      <c r="A1451" s="228" t="s">
        <v>2</v>
      </c>
      <c r="B1451" s="229" t="s">
        <v>109</v>
      </c>
      <c r="C1451" s="230" t="s">
        <v>507</v>
      </c>
      <c r="D1451" s="230" t="s">
        <v>508</v>
      </c>
      <c r="E1451" s="229" t="s">
        <v>22</v>
      </c>
      <c r="F1451" s="231">
        <v>238.25</v>
      </c>
      <c r="G1451" s="229" t="s">
        <v>1</v>
      </c>
      <c r="H1451" s="405">
        <f ca="1">INDEX(PRODUTIVIDADES!$M:$M,MATCH(tbAREAS[[#This Row],[TIPO DE ÁREA]],PRODUTIVIDADES!$B:$B,0)+MATCH(tbAREAS[[#This Row],[LOCALIDADE]],PRODUTIVIDADES!$A:$A,0)-3)*tbAREAS[[#This Row],[ÁREA EM M²]]</f>
        <v>95.300000000000011</v>
      </c>
      <c r="L1451" s="391"/>
    </row>
    <row r="1452" spans="1:12" hidden="1" x14ac:dyDescent="0.25">
      <c r="A1452" s="228" t="s">
        <v>2</v>
      </c>
      <c r="B1452" s="229" t="s">
        <v>111</v>
      </c>
      <c r="C1452" s="230" t="s">
        <v>509</v>
      </c>
      <c r="D1452" s="230" t="s">
        <v>510</v>
      </c>
      <c r="E1452" s="229" t="s">
        <v>10</v>
      </c>
      <c r="F1452" s="231">
        <v>7.07</v>
      </c>
      <c r="G1452" s="229" t="s">
        <v>1</v>
      </c>
      <c r="H1452" s="405">
        <f ca="1">INDEX(PRODUTIVIDADES!$M:$M,MATCH(tbAREAS[[#This Row],[TIPO DE ÁREA]],PRODUTIVIDADES!$B:$B,0)+MATCH(tbAREAS[[#This Row],[LOCALIDADE]],PRODUTIVIDADES!$A:$A,0)-3)*tbAREAS[[#This Row],[ÁREA EM M²]]</f>
        <v>22.058400000000002</v>
      </c>
      <c r="L1452" s="391"/>
    </row>
    <row r="1453" spans="1:12" hidden="1" x14ac:dyDescent="0.25">
      <c r="A1453" s="228" t="s">
        <v>2</v>
      </c>
      <c r="B1453" s="229" t="s">
        <v>111</v>
      </c>
      <c r="C1453" s="230" t="s">
        <v>509</v>
      </c>
      <c r="D1453" s="230" t="s">
        <v>510</v>
      </c>
      <c r="E1453" s="229" t="s">
        <v>18</v>
      </c>
      <c r="F1453" s="231">
        <v>3.44</v>
      </c>
      <c r="G1453" s="229" t="s">
        <v>1</v>
      </c>
      <c r="H1453" s="405">
        <f ca="1">INDEX(PRODUTIVIDADES!$M:$M,MATCH(tbAREAS[[#This Row],[TIPO DE ÁREA]],PRODUTIVIDADES!$B:$B,0)+MATCH(tbAREAS[[#This Row],[LOCALIDADE]],PRODUTIVIDADES!$A:$A,0)-3)*tbAREAS[[#This Row],[ÁREA EM M²]]</f>
        <v>156.00399999999999</v>
      </c>
      <c r="L1453" s="391"/>
    </row>
    <row r="1454" spans="1:12" hidden="1" x14ac:dyDescent="0.25">
      <c r="A1454" s="228" t="s">
        <v>2</v>
      </c>
      <c r="B1454" s="229" t="s">
        <v>111</v>
      </c>
      <c r="C1454" s="230" t="s">
        <v>509</v>
      </c>
      <c r="D1454" s="230" t="s">
        <v>510</v>
      </c>
      <c r="E1454" s="229" t="s">
        <v>21</v>
      </c>
      <c r="F1454" s="231">
        <v>11.7</v>
      </c>
      <c r="G1454" s="229" t="s">
        <v>1</v>
      </c>
      <c r="H1454" s="405">
        <f ca="1">INDEX(PRODUTIVIDADES!$M:$M,MATCH(tbAREAS[[#This Row],[TIPO DE ÁREA]],PRODUTIVIDADES!$B:$B,0)+MATCH(tbAREAS[[#This Row],[LOCALIDADE]],PRODUTIVIDADES!$A:$A,0)-3)*tbAREAS[[#This Row],[ÁREA EM M²]]</f>
        <v>1.9890000000000001</v>
      </c>
      <c r="L1454" s="391"/>
    </row>
    <row r="1455" spans="1:12" hidden="1" x14ac:dyDescent="0.25">
      <c r="A1455" s="228" t="s">
        <v>2</v>
      </c>
      <c r="B1455" s="229" t="s">
        <v>111</v>
      </c>
      <c r="C1455" s="230" t="s">
        <v>509</v>
      </c>
      <c r="D1455" s="230" t="s">
        <v>510</v>
      </c>
      <c r="E1455" s="229" t="s">
        <v>22</v>
      </c>
      <c r="F1455" s="231">
        <v>11.7</v>
      </c>
      <c r="G1455" s="229" t="s">
        <v>1</v>
      </c>
      <c r="H1455" s="405">
        <f ca="1">INDEX(PRODUTIVIDADES!$M:$M,MATCH(tbAREAS[[#This Row],[TIPO DE ÁREA]],PRODUTIVIDADES!$B:$B,0)+MATCH(tbAREAS[[#This Row],[LOCALIDADE]],PRODUTIVIDADES!$A:$A,0)-3)*tbAREAS[[#This Row],[ÁREA EM M²]]</f>
        <v>4.68</v>
      </c>
      <c r="L1455" s="391"/>
    </row>
    <row r="1456" spans="1:12" hidden="1" x14ac:dyDescent="0.25">
      <c r="A1456" s="228" t="s">
        <v>2</v>
      </c>
      <c r="B1456" s="229" t="s">
        <v>111</v>
      </c>
      <c r="C1456" s="230" t="s">
        <v>511</v>
      </c>
      <c r="D1456" s="230" t="s">
        <v>512</v>
      </c>
      <c r="E1456" s="229" t="s">
        <v>10</v>
      </c>
      <c r="F1456" s="231">
        <v>32.700000000000003</v>
      </c>
      <c r="G1456" s="229" t="s">
        <v>1</v>
      </c>
      <c r="H1456" s="405">
        <f ca="1">INDEX(PRODUTIVIDADES!$M:$M,MATCH(tbAREAS[[#This Row],[TIPO DE ÁREA]],PRODUTIVIDADES!$B:$B,0)+MATCH(tbAREAS[[#This Row],[LOCALIDADE]],PRODUTIVIDADES!$A:$A,0)-3)*tbAREAS[[#This Row],[ÁREA EM M²]]</f>
        <v>102.02400000000002</v>
      </c>
      <c r="L1456" s="391"/>
    </row>
    <row r="1457" spans="1:12" hidden="1" x14ac:dyDescent="0.25">
      <c r="A1457" s="228" t="s">
        <v>2</v>
      </c>
      <c r="B1457" s="229" t="s">
        <v>111</v>
      </c>
      <c r="C1457" s="230" t="s">
        <v>511</v>
      </c>
      <c r="D1457" s="230" t="s">
        <v>512</v>
      </c>
      <c r="E1457" s="229" t="s">
        <v>18</v>
      </c>
      <c r="F1457" s="231">
        <v>1.35</v>
      </c>
      <c r="G1457" s="229" t="s">
        <v>1</v>
      </c>
      <c r="H1457" s="405">
        <f ca="1">INDEX(PRODUTIVIDADES!$M:$M,MATCH(tbAREAS[[#This Row],[TIPO DE ÁREA]],PRODUTIVIDADES!$B:$B,0)+MATCH(tbAREAS[[#This Row],[LOCALIDADE]],PRODUTIVIDADES!$A:$A,0)-3)*tbAREAS[[#This Row],[ÁREA EM M²]]</f>
        <v>61.222500000000004</v>
      </c>
      <c r="L1457" s="391"/>
    </row>
    <row r="1458" spans="1:12" hidden="1" x14ac:dyDescent="0.25">
      <c r="A1458" s="228" t="s">
        <v>2</v>
      </c>
      <c r="B1458" s="229" t="s">
        <v>111</v>
      </c>
      <c r="C1458" s="230" t="s">
        <v>511</v>
      </c>
      <c r="D1458" s="230" t="s">
        <v>512</v>
      </c>
      <c r="E1458" s="229" t="s">
        <v>21</v>
      </c>
      <c r="F1458" s="231">
        <v>8.6</v>
      </c>
      <c r="G1458" s="229" t="s">
        <v>1</v>
      </c>
      <c r="H1458" s="405">
        <f ca="1">INDEX(PRODUTIVIDADES!$M:$M,MATCH(tbAREAS[[#This Row],[TIPO DE ÁREA]],PRODUTIVIDADES!$B:$B,0)+MATCH(tbAREAS[[#This Row],[LOCALIDADE]],PRODUTIVIDADES!$A:$A,0)-3)*tbAREAS[[#This Row],[ÁREA EM M²]]</f>
        <v>1.462</v>
      </c>
      <c r="L1458" s="391"/>
    </row>
    <row r="1459" spans="1:12" hidden="1" x14ac:dyDescent="0.25">
      <c r="A1459" s="228" t="s">
        <v>2</v>
      </c>
      <c r="B1459" s="229" t="s">
        <v>111</v>
      </c>
      <c r="C1459" s="230" t="s">
        <v>511</v>
      </c>
      <c r="D1459" s="230" t="s">
        <v>512</v>
      </c>
      <c r="E1459" s="229" t="s">
        <v>22</v>
      </c>
      <c r="F1459" s="231">
        <v>8.6</v>
      </c>
      <c r="G1459" s="229" t="s">
        <v>1</v>
      </c>
      <c r="H1459" s="405">
        <f ca="1">INDEX(PRODUTIVIDADES!$M:$M,MATCH(tbAREAS[[#This Row],[TIPO DE ÁREA]],PRODUTIVIDADES!$B:$B,0)+MATCH(tbAREAS[[#This Row],[LOCALIDADE]],PRODUTIVIDADES!$A:$A,0)-3)*tbAREAS[[#This Row],[ÁREA EM M²]]</f>
        <v>3.44</v>
      </c>
      <c r="L1459" s="391"/>
    </row>
    <row r="1460" spans="1:12" hidden="1" x14ac:dyDescent="0.25">
      <c r="A1460" s="228" t="s">
        <v>2</v>
      </c>
      <c r="B1460" s="229" t="s">
        <v>111</v>
      </c>
      <c r="C1460" s="230" t="s">
        <v>513</v>
      </c>
      <c r="D1460" s="230" t="s">
        <v>514</v>
      </c>
      <c r="E1460" s="229" t="s">
        <v>10</v>
      </c>
      <c r="F1460" s="231">
        <v>24.24</v>
      </c>
      <c r="G1460" s="229" t="s">
        <v>1</v>
      </c>
      <c r="H1460" s="405">
        <f ca="1">INDEX(PRODUTIVIDADES!$M:$M,MATCH(tbAREAS[[#This Row],[TIPO DE ÁREA]],PRODUTIVIDADES!$B:$B,0)+MATCH(tbAREAS[[#This Row],[LOCALIDADE]],PRODUTIVIDADES!$A:$A,0)-3)*tbAREAS[[#This Row],[ÁREA EM M²]]</f>
        <v>75.628799999999998</v>
      </c>
      <c r="L1460" s="391"/>
    </row>
    <row r="1461" spans="1:12" hidden="1" x14ac:dyDescent="0.25">
      <c r="A1461" s="228" t="s">
        <v>2</v>
      </c>
      <c r="B1461" s="229" t="s">
        <v>111</v>
      </c>
      <c r="C1461" s="230" t="s">
        <v>513</v>
      </c>
      <c r="D1461" s="230" t="s">
        <v>514</v>
      </c>
      <c r="E1461" s="229" t="s">
        <v>15</v>
      </c>
      <c r="F1461" s="231">
        <v>26.7</v>
      </c>
      <c r="G1461" s="229" t="s">
        <v>1</v>
      </c>
      <c r="H1461" s="405">
        <f ca="1">INDEX(PRODUTIVIDADES!$M:$M,MATCH(tbAREAS[[#This Row],[TIPO DE ÁREA]],PRODUTIVIDADES!$B:$B,0)+MATCH(tbAREAS[[#This Row],[LOCALIDADE]],PRODUTIVIDADES!$A:$A,0)-3)*tbAREAS[[#This Row],[ÁREA EM M²]]</f>
        <v>18.422999999999998</v>
      </c>
      <c r="L1461" s="391"/>
    </row>
    <row r="1462" spans="1:12" hidden="1" x14ac:dyDescent="0.25">
      <c r="A1462" s="228" t="s">
        <v>2</v>
      </c>
      <c r="B1462" s="229" t="s">
        <v>111</v>
      </c>
      <c r="C1462" s="230" t="s">
        <v>513</v>
      </c>
      <c r="D1462" s="230" t="s">
        <v>514</v>
      </c>
      <c r="E1462" s="229" t="s">
        <v>17</v>
      </c>
      <c r="F1462" s="231">
        <v>14.35</v>
      </c>
      <c r="G1462" s="229" t="s">
        <v>1</v>
      </c>
      <c r="H1462" s="405">
        <f ca="1">INDEX(PRODUTIVIDADES!$M:$M,MATCH(tbAREAS[[#This Row],[TIPO DE ÁREA]],PRODUTIVIDADES!$B:$B,0)+MATCH(tbAREAS[[#This Row],[LOCALIDADE]],PRODUTIVIDADES!$A:$A,0)-3)*tbAREAS[[#This Row],[ÁREA EM M²]]</f>
        <v>33.579000000000001</v>
      </c>
      <c r="L1462" s="391"/>
    </row>
    <row r="1463" spans="1:12" hidden="1" x14ac:dyDescent="0.25">
      <c r="A1463" s="228" t="s">
        <v>2</v>
      </c>
      <c r="B1463" s="229" t="s">
        <v>111</v>
      </c>
      <c r="C1463" s="230" t="s">
        <v>513</v>
      </c>
      <c r="D1463" s="230" t="s">
        <v>514</v>
      </c>
      <c r="E1463" s="229" t="s">
        <v>18</v>
      </c>
      <c r="F1463" s="231">
        <v>3</v>
      </c>
      <c r="G1463" s="229" t="s">
        <v>1</v>
      </c>
      <c r="H1463" s="405">
        <f ca="1">INDEX(PRODUTIVIDADES!$M:$M,MATCH(tbAREAS[[#This Row],[TIPO DE ÁREA]],PRODUTIVIDADES!$B:$B,0)+MATCH(tbAREAS[[#This Row],[LOCALIDADE]],PRODUTIVIDADES!$A:$A,0)-3)*tbAREAS[[#This Row],[ÁREA EM M²]]</f>
        <v>136.05000000000001</v>
      </c>
      <c r="L1463" s="391"/>
    </row>
    <row r="1464" spans="1:12" hidden="1" x14ac:dyDescent="0.25">
      <c r="A1464" s="228" t="s">
        <v>2</v>
      </c>
      <c r="B1464" s="229" t="s">
        <v>111</v>
      </c>
      <c r="C1464" s="230" t="s">
        <v>513</v>
      </c>
      <c r="D1464" s="230" t="s">
        <v>514</v>
      </c>
      <c r="E1464" s="229" t="s">
        <v>21</v>
      </c>
      <c r="F1464" s="231">
        <v>16.96</v>
      </c>
      <c r="G1464" s="229" t="s">
        <v>1</v>
      </c>
      <c r="H1464" s="405">
        <f ca="1">INDEX(PRODUTIVIDADES!$M:$M,MATCH(tbAREAS[[#This Row],[TIPO DE ÁREA]],PRODUTIVIDADES!$B:$B,0)+MATCH(tbAREAS[[#This Row],[LOCALIDADE]],PRODUTIVIDADES!$A:$A,0)-3)*tbAREAS[[#This Row],[ÁREA EM M²]]</f>
        <v>2.8832000000000004</v>
      </c>
      <c r="L1464" s="391"/>
    </row>
    <row r="1465" spans="1:12" hidden="1" x14ac:dyDescent="0.25">
      <c r="A1465" s="228" t="s">
        <v>2</v>
      </c>
      <c r="B1465" s="229" t="s">
        <v>111</v>
      </c>
      <c r="C1465" s="230" t="s">
        <v>513</v>
      </c>
      <c r="D1465" s="230" t="s">
        <v>514</v>
      </c>
      <c r="E1465" s="229" t="s">
        <v>22</v>
      </c>
      <c r="F1465" s="231">
        <v>16.96</v>
      </c>
      <c r="G1465" s="229" t="s">
        <v>1</v>
      </c>
      <c r="H1465" s="405">
        <f ca="1">INDEX(PRODUTIVIDADES!$M:$M,MATCH(tbAREAS[[#This Row],[TIPO DE ÁREA]],PRODUTIVIDADES!$B:$B,0)+MATCH(tbAREAS[[#This Row],[LOCALIDADE]],PRODUTIVIDADES!$A:$A,0)-3)*tbAREAS[[#This Row],[ÁREA EM M²]]</f>
        <v>6.7840000000000007</v>
      </c>
      <c r="L1465" s="391"/>
    </row>
    <row r="1466" spans="1:12" hidden="1" x14ac:dyDescent="0.25">
      <c r="A1466" s="228" t="s">
        <v>2</v>
      </c>
      <c r="B1466" s="229" t="s">
        <v>111</v>
      </c>
      <c r="C1466" s="230" t="s">
        <v>515</v>
      </c>
      <c r="D1466" s="230" t="s">
        <v>516</v>
      </c>
      <c r="E1466" s="229" t="s">
        <v>10</v>
      </c>
      <c r="F1466" s="231">
        <v>213.42</v>
      </c>
      <c r="G1466" s="229" t="s">
        <v>1</v>
      </c>
      <c r="H1466" s="405">
        <f ca="1">INDEX(PRODUTIVIDADES!$M:$M,MATCH(tbAREAS[[#This Row],[TIPO DE ÁREA]],PRODUTIVIDADES!$B:$B,0)+MATCH(tbAREAS[[#This Row],[LOCALIDADE]],PRODUTIVIDADES!$A:$A,0)-3)*tbAREAS[[#This Row],[ÁREA EM M²]]</f>
        <v>665.87040000000002</v>
      </c>
      <c r="L1466" s="391"/>
    </row>
    <row r="1467" spans="1:12" hidden="1" x14ac:dyDescent="0.25">
      <c r="A1467" s="228" t="s">
        <v>2</v>
      </c>
      <c r="B1467" s="229" t="s">
        <v>111</v>
      </c>
      <c r="C1467" s="230" t="s">
        <v>515</v>
      </c>
      <c r="D1467" s="230" t="s">
        <v>516</v>
      </c>
      <c r="E1467" s="229" t="s">
        <v>18</v>
      </c>
      <c r="F1467" s="231">
        <v>24.44</v>
      </c>
      <c r="G1467" s="229" t="s">
        <v>1</v>
      </c>
      <c r="H1467" s="405">
        <f ca="1">INDEX(PRODUTIVIDADES!$M:$M,MATCH(tbAREAS[[#This Row],[TIPO DE ÁREA]],PRODUTIVIDADES!$B:$B,0)+MATCH(tbAREAS[[#This Row],[LOCALIDADE]],PRODUTIVIDADES!$A:$A,0)-3)*tbAREAS[[#This Row],[ÁREA EM M²]]</f>
        <v>1108.354</v>
      </c>
      <c r="L1467" s="391"/>
    </row>
    <row r="1468" spans="1:12" hidden="1" x14ac:dyDescent="0.25">
      <c r="A1468" s="228" t="s">
        <v>2</v>
      </c>
      <c r="B1468" s="229" t="s">
        <v>111</v>
      </c>
      <c r="C1468" s="230" t="s">
        <v>515</v>
      </c>
      <c r="D1468" s="230" t="s">
        <v>516</v>
      </c>
      <c r="E1468" s="229" t="s">
        <v>21</v>
      </c>
      <c r="F1468" s="231">
        <v>32.01</v>
      </c>
      <c r="G1468" s="229" t="s">
        <v>1</v>
      </c>
      <c r="H1468" s="405">
        <f ca="1">INDEX(PRODUTIVIDADES!$M:$M,MATCH(tbAREAS[[#This Row],[TIPO DE ÁREA]],PRODUTIVIDADES!$B:$B,0)+MATCH(tbAREAS[[#This Row],[LOCALIDADE]],PRODUTIVIDADES!$A:$A,0)-3)*tbAREAS[[#This Row],[ÁREA EM M²]]</f>
        <v>5.4417</v>
      </c>
      <c r="L1468" s="391"/>
    </row>
    <row r="1469" spans="1:12" hidden="1" x14ac:dyDescent="0.25">
      <c r="A1469" s="228" t="s">
        <v>2</v>
      </c>
      <c r="B1469" s="229" t="s">
        <v>111</v>
      </c>
      <c r="C1469" s="230" t="s">
        <v>515</v>
      </c>
      <c r="D1469" s="230" t="s">
        <v>516</v>
      </c>
      <c r="E1469" s="229" t="s">
        <v>22</v>
      </c>
      <c r="F1469" s="231">
        <v>32.01</v>
      </c>
      <c r="G1469" s="229" t="s">
        <v>1</v>
      </c>
      <c r="H1469" s="405">
        <f ca="1">INDEX(PRODUTIVIDADES!$M:$M,MATCH(tbAREAS[[#This Row],[TIPO DE ÁREA]],PRODUTIVIDADES!$B:$B,0)+MATCH(tbAREAS[[#This Row],[LOCALIDADE]],PRODUTIVIDADES!$A:$A,0)-3)*tbAREAS[[#This Row],[ÁREA EM M²]]</f>
        <v>12.804</v>
      </c>
      <c r="L1469" s="391"/>
    </row>
    <row r="1470" spans="1:12" hidden="1" x14ac:dyDescent="0.25">
      <c r="A1470" s="228" t="s">
        <v>2</v>
      </c>
      <c r="B1470" s="229" t="s">
        <v>111</v>
      </c>
      <c r="C1470" s="230" t="s">
        <v>517</v>
      </c>
      <c r="D1470" s="230" t="s">
        <v>518</v>
      </c>
      <c r="E1470" s="229" t="s">
        <v>16</v>
      </c>
      <c r="F1470" s="231">
        <v>301.81</v>
      </c>
      <c r="G1470" s="229" t="s">
        <v>1</v>
      </c>
      <c r="H1470" s="405">
        <f ca="1">INDEX(PRODUTIVIDADES!$M:$M,MATCH(tbAREAS[[#This Row],[TIPO DE ÁREA]],PRODUTIVIDADES!$B:$B,0)+MATCH(tbAREAS[[#This Row],[LOCALIDADE]],PRODUTIVIDADES!$A:$A,0)-3)*tbAREAS[[#This Row],[ÁREA EM M²]]</f>
        <v>235.4118</v>
      </c>
      <c r="L1470" s="391"/>
    </row>
    <row r="1471" spans="1:12" hidden="1" x14ac:dyDescent="0.25">
      <c r="A1471" s="228" t="s">
        <v>2</v>
      </c>
      <c r="B1471" s="229" t="s">
        <v>111</v>
      </c>
      <c r="C1471" s="230" t="s">
        <v>517</v>
      </c>
      <c r="D1471" s="230" t="s">
        <v>518</v>
      </c>
      <c r="E1471" s="229" t="s">
        <v>18</v>
      </c>
      <c r="F1471" s="231">
        <v>2.2999999999999998</v>
      </c>
      <c r="G1471" s="229" t="s">
        <v>1</v>
      </c>
      <c r="H1471" s="405">
        <f ca="1">INDEX(PRODUTIVIDADES!$M:$M,MATCH(tbAREAS[[#This Row],[TIPO DE ÁREA]],PRODUTIVIDADES!$B:$B,0)+MATCH(tbAREAS[[#This Row],[LOCALIDADE]],PRODUTIVIDADES!$A:$A,0)-3)*tbAREAS[[#This Row],[ÁREA EM M²]]</f>
        <v>104.30499999999999</v>
      </c>
      <c r="L1471" s="391"/>
    </row>
    <row r="1472" spans="1:12" hidden="1" x14ac:dyDescent="0.25">
      <c r="A1472" s="228" t="s">
        <v>2</v>
      </c>
      <c r="B1472" s="229" t="s">
        <v>111</v>
      </c>
      <c r="C1472" s="230" t="s">
        <v>517</v>
      </c>
      <c r="D1472" s="230" t="s">
        <v>518</v>
      </c>
      <c r="E1472" s="229" t="s">
        <v>21</v>
      </c>
      <c r="F1472" s="231">
        <v>8.5</v>
      </c>
      <c r="G1472" s="229" t="s">
        <v>1</v>
      </c>
      <c r="H1472" s="405">
        <f ca="1">INDEX(PRODUTIVIDADES!$M:$M,MATCH(tbAREAS[[#This Row],[TIPO DE ÁREA]],PRODUTIVIDADES!$B:$B,0)+MATCH(tbAREAS[[#This Row],[LOCALIDADE]],PRODUTIVIDADES!$A:$A,0)-3)*tbAREAS[[#This Row],[ÁREA EM M²]]</f>
        <v>1.4450000000000001</v>
      </c>
      <c r="L1472" s="391"/>
    </row>
    <row r="1473" spans="1:12" hidden="1" x14ac:dyDescent="0.25">
      <c r="A1473" s="228" t="s">
        <v>2</v>
      </c>
      <c r="B1473" s="229" t="s">
        <v>111</v>
      </c>
      <c r="C1473" s="230" t="s">
        <v>517</v>
      </c>
      <c r="D1473" s="230" t="s">
        <v>518</v>
      </c>
      <c r="E1473" s="229" t="s">
        <v>22</v>
      </c>
      <c r="F1473" s="231">
        <v>8.5</v>
      </c>
      <c r="G1473" s="229" t="s">
        <v>1</v>
      </c>
      <c r="H1473" s="405">
        <f ca="1">INDEX(PRODUTIVIDADES!$M:$M,MATCH(tbAREAS[[#This Row],[TIPO DE ÁREA]],PRODUTIVIDADES!$B:$B,0)+MATCH(tbAREAS[[#This Row],[LOCALIDADE]],PRODUTIVIDADES!$A:$A,0)-3)*tbAREAS[[#This Row],[ÁREA EM M²]]</f>
        <v>3.4000000000000004</v>
      </c>
      <c r="L1473" s="391"/>
    </row>
    <row r="1474" spans="1:12" hidden="1" x14ac:dyDescent="0.25">
      <c r="A1474" s="228" t="s">
        <v>2</v>
      </c>
      <c r="B1474" s="229" t="s">
        <v>111</v>
      </c>
      <c r="C1474" s="230" t="s">
        <v>519</v>
      </c>
      <c r="D1474" s="230" t="s">
        <v>520</v>
      </c>
      <c r="E1474" s="229" t="s">
        <v>10</v>
      </c>
      <c r="F1474" s="231">
        <v>48.91</v>
      </c>
      <c r="G1474" s="229" t="s">
        <v>1</v>
      </c>
      <c r="H1474" s="405">
        <f ca="1">INDEX(PRODUTIVIDADES!$M:$M,MATCH(tbAREAS[[#This Row],[TIPO DE ÁREA]],PRODUTIVIDADES!$B:$B,0)+MATCH(tbAREAS[[#This Row],[LOCALIDADE]],PRODUTIVIDADES!$A:$A,0)-3)*tbAREAS[[#This Row],[ÁREA EM M²]]</f>
        <v>152.5992</v>
      </c>
      <c r="L1474" s="391"/>
    </row>
    <row r="1475" spans="1:12" hidden="1" x14ac:dyDescent="0.25">
      <c r="A1475" s="228" t="s">
        <v>2</v>
      </c>
      <c r="B1475" s="229" t="s">
        <v>111</v>
      </c>
      <c r="C1475" s="230" t="s">
        <v>519</v>
      </c>
      <c r="D1475" s="230" t="s">
        <v>520</v>
      </c>
      <c r="E1475" s="229" t="s">
        <v>16</v>
      </c>
      <c r="F1475" s="231">
        <v>127.1</v>
      </c>
      <c r="G1475" s="229" t="s">
        <v>1</v>
      </c>
      <c r="H1475" s="405">
        <f ca="1">INDEX(PRODUTIVIDADES!$M:$M,MATCH(tbAREAS[[#This Row],[TIPO DE ÁREA]],PRODUTIVIDADES!$B:$B,0)+MATCH(tbAREAS[[#This Row],[LOCALIDADE]],PRODUTIVIDADES!$A:$A,0)-3)*tbAREAS[[#This Row],[ÁREA EM M²]]</f>
        <v>99.138000000000005</v>
      </c>
      <c r="L1475" s="391"/>
    </row>
    <row r="1476" spans="1:12" hidden="1" x14ac:dyDescent="0.25">
      <c r="A1476" s="228" t="s">
        <v>2</v>
      </c>
      <c r="B1476" s="229" t="s">
        <v>111</v>
      </c>
      <c r="C1476" s="230" t="s">
        <v>519</v>
      </c>
      <c r="D1476" s="230" t="s">
        <v>520</v>
      </c>
      <c r="E1476" s="229" t="s">
        <v>18</v>
      </c>
      <c r="F1476" s="231">
        <v>1.3</v>
      </c>
      <c r="G1476" s="229" t="s">
        <v>1</v>
      </c>
      <c r="H1476" s="405">
        <f ca="1">INDEX(PRODUTIVIDADES!$M:$M,MATCH(tbAREAS[[#This Row],[TIPO DE ÁREA]],PRODUTIVIDADES!$B:$B,0)+MATCH(tbAREAS[[#This Row],[LOCALIDADE]],PRODUTIVIDADES!$A:$A,0)-3)*tbAREAS[[#This Row],[ÁREA EM M²]]</f>
        <v>58.955000000000005</v>
      </c>
      <c r="L1476" s="391"/>
    </row>
    <row r="1477" spans="1:12" hidden="1" x14ac:dyDescent="0.25">
      <c r="A1477" s="228" t="s">
        <v>2</v>
      </c>
      <c r="B1477" s="229" t="s">
        <v>111</v>
      </c>
      <c r="C1477" s="230" t="s">
        <v>519</v>
      </c>
      <c r="D1477" s="230" t="s">
        <v>520</v>
      </c>
      <c r="E1477" s="229" t="s">
        <v>21</v>
      </c>
      <c r="F1477" s="231">
        <v>5</v>
      </c>
      <c r="G1477" s="229" t="s">
        <v>1</v>
      </c>
      <c r="H1477" s="405">
        <f ca="1">INDEX(PRODUTIVIDADES!$M:$M,MATCH(tbAREAS[[#This Row],[TIPO DE ÁREA]],PRODUTIVIDADES!$B:$B,0)+MATCH(tbAREAS[[#This Row],[LOCALIDADE]],PRODUTIVIDADES!$A:$A,0)-3)*tbAREAS[[#This Row],[ÁREA EM M²]]</f>
        <v>0.85000000000000009</v>
      </c>
      <c r="L1477" s="391"/>
    </row>
    <row r="1478" spans="1:12" hidden="1" x14ac:dyDescent="0.25">
      <c r="A1478" s="228" t="s">
        <v>2</v>
      </c>
      <c r="B1478" s="229" t="s">
        <v>111</v>
      </c>
      <c r="C1478" s="230" t="s">
        <v>519</v>
      </c>
      <c r="D1478" s="230" t="s">
        <v>520</v>
      </c>
      <c r="E1478" s="229" t="s">
        <v>22</v>
      </c>
      <c r="F1478" s="231">
        <v>5</v>
      </c>
      <c r="G1478" s="229" t="s">
        <v>1</v>
      </c>
      <c r="H1478" s="405">
        <f ca="1">INDEX(PRODUTIVIDADES!$M:$M,MATCH(tbAREAS[[#This Row],[TIPO DE ÁREA]],PRODUTIVIDADES!$B:$B,0)+MATCH(tbAREAS[[#This Row],[LOCALIDADE]],PRODUTIVIDADES!$A:$A,0)-3)*tbAREAS[[#This Row],[ÁREA EM M²]]</f>
        <v>2</v>
      </c>
      <c r="L1478" s="391"/>
    </row>
    <row r="1479" spans="1:12" hidden="1" x14ac:dyDescent="0.25">
      <c r="A1479" s="228" t="s">
        <v>2</v>
      </c>
      <c r="B1479" s="229" t="s">
        <v>111</v>
      </c>
      <c r="C1479" s="230" t="s">
        <v>521</v>
      </c>
      <c r="D1479" s="230" t="s">
        <v>522</v>
      </c>
      <c r="E1479" s="229" t="s">
        <v>10</v>
      </c>
      <c r="F1479" s="231">
        <v>17.72</v>
      </c>
      <c r="G1479" s="229" t="s">
        <v>1</v>
      </c>
      <c r="H1479" s="405">
        <f ca="1">INDEX(PRODUTIVIDADES!$M:$M,MATCH(tbAREAS[[#This Row],[TIPO DE ÁREA]],PRODUTIVIDADES!$B:$B,0)+MATCH(tbAREAS[[#This Row],[LOCALIDADE]],PRODUTIVIDADES!$A:$A,0)-3)*tbAREAS[[#This Row],[ÁREA EM M²]]</f>
        <v>55.2864</v>
      </c>
      <c r="L1479" s="391"/>
    </row>
    <row r="1480" spans="1:12" hidden="1" x14ac:dyDescent="0.25">
      <c r="A1480" s="228" t="s">
        <v>2</v>
      </c>
      <c r="B1480" s="229" t="s">
        <v>111</v>
      </c>
      <c r="C1480" s="230" t="s">
        <v>521</v>
      </c>
      <c r="D1480" s="230" t="s">
        <v>522</v>
      </c>
      <c r="E1480" s="229" t="s">
        <v>16</v>
      </c>
      <c r="F1480" s="231">
        <v>156.72</v>
      </c>
      <c r="G1480" s="229" t="s">
        <v>1</v>
      </c>
      <c r="H1480" s="405">
        <f ca="1">INDEX(PRODUTIVIDADES!$M:$M,MATCH(tbAREAS[[#This Row],[TIPO DE ÁREA]],PRODUTIVIDADES!$B:$B,0)+MATCH(tbAREAS[[#This Row],[LOCALIDADE]],PRODUTIVIDADES!$A:$A,0)-3)*tbAREAS[[#This Row],[ÁREA EM M²]]</f>
        <v>122.24160000000001</v>
      </c>
      <c r="L1480" s="391"/>
    </row>
    <row r="1481" spans="1:12" hidden="1" x14ac:dyDescent="0.25">
      <c r="A1481" s="228" t="s">
        <v>2</v>
      </c>
      <c r="B1481" s="229" t="s">
        <v>111</v>
      </c>
      <c r="C1481" s="230" t="s">
        <v>521</v>
      </c>
      <c r="D1481" s="230" t="s">
        <v>522</v>
      </c>
      <c r="E1481" s="229" t="s">
        <v>18</v>
      </c>
      <c r="F1481" s="231">
        <v>2.34</v>
      </c>
      <c r="G1481" s="229" t="s">
        <v>1</v>
      </c>
      <c r="H1481" s="405">
        <f ca="1">INDEX(PRODUTIVIDADES!$M:$M,MATCH(tbAREAS[[#This Row],[TIPO DE ÁREA]],PRODUTIVIDADES!$B:$B,0)+MATCH(tbAREAS[[#This Row],[LOCALIDADE]],PRODUTIVIDADES!$A:$A,0)-3)*tbAREAS[[#This Row],[ÁREA EM M²]]</f>
        <v>106.119</v>
      </c>
      <c r="L1481" s="391"/>
    </row>
    <row r="1482" spans="1:12" hidden="1" x14ac:dyDescent="0.25">
      <c r="A1482" s="228" t="s">
        <v>2</v>
      </c>
      <c r="B1482" s="229" t="s">
        <v>111</v>
      </c>
      <c r="C1482" s="230" t="s">
        <v>521</v>
      </c>
      <c r="D1482" s="230" t="s">
        <v>522</v>
      </c>
      <c r="E1482" s="229" t="s">
        <v>21</v>
      </c>
      <c r="F1482" s="231">
        <v>6.7</v>
      </c>
      <c r="G1482" s="229" t="s">
        <v>1</v>
      </c>
      <c r="H1482" s="405">
        <f ca="1">INDEX(PRODUTIVIDADES!$M:$M,MATCH(tbAREAS[[#This Row],[TIPO DE ÁREA]],PRODUTIVIDADES!$B:$B,0)+MATCH(tbAREAS[[#This Row],[LOCALIDADE]],PRODUTIVIDADES!$A:$A,0)-3)*tbAREAS[[#This Row],[ÁREA EM M²]]</f>
        <v>1.139</v>
      </c>
      <c r="L1482" s="391"/>
    </row>
    <row r="1483" spans="1:12" hidden="1" x14ac:dyDescent="0.25">
      <c r="A1483" s="228" t="s">
        <v>2</v>
      </c>
      <c r="B1483" s="229" t="s">
        <v>111</v>
      </c>
      <c r="C1483" s="230" t="s">
        <v>521</v>
      </c>
      <c r="D1483" s="230" t="s">
        <v>522</v>
      </c>
      <c r="E1483" s="229" t="s">
        <v>22</v>
      </c>
      <c r="F1483" s="231">
        <v>6.7</v>
      </c>
      <c r="G1483" s="229" t="s">
        <v>1</v>
      </c>
      <c r="H1483" s="405">
        <f ca="1">INDEX(PRODUTIVIDADES!$M:$M,MATCH(tbAREAS[[#This Row],[TIPO DE ÁREA]],PRODUTIVIDADES!$B:$B,0)+MATCH(tbAREAS[[#This Row],[LOCALIDADE]],PRODUTIVIDADES!$A:$A,0)-3)*tbAREAS[[#This Row],[ÁREA EM M²]]</f>
        <v>2.68</v>
      </c>
      <c r="L1483" s="391"/>
    </row>
    <row r="1484" spans="1:12" hidden="1" x14ac:dyDescent="0.25">
      <c r="A1484" s="228" t="s">
        <v>2</v>
      </c>
      <c r="B1484" s="229" t="s">
        <v>111</v>
      </c>
      <c r="C1484" s="230" t="s">
        <v>523</v>
      </c>
      <c r="D1484" s="230" t="s">
        <v>524</v>
      </c>
      <c r="E1484" s="229" t="s">
        <v>10</v>
      </c>
      <c r="F1484" s="231">
        <v>102.76</v>
      </c>
      <c r="G1484" s="229" t="s">
        <v>1</v>
      </c>
      <c r="H1484" s="405">
        <f ca="1">INDEX(PRODUTIVIDADES!$M:$M,MATCH(tbAREAS[[#This Row],[TIPO DE ÁREA]],PRODUTIVIDADES!$B:$B,0)+MATCH(tbAREAS[[#This Row],[LOCALIDADE]],PRODUTIVIDADES!$A:$A,0)-3)*tbAREAS[[#This Row],[ÁREA EM M²]]</f>
        <v>320.61120000000005</v>
      </c>
      <c r="L1484" s="391"/>
    </row>
    <row r="1485" spans="1:12" hidden="1" x14ac:dyDescent="0.25">
      <c r="A1485" s="228" t="s">
        <v>2</v>
      </c>
      <c r="B1485" s="229" t="s">
        <v>111</v>
      </c>
      <c r="C1485" s="230" t="s">
        <v>523</v>
      </c>
      <c r="D1485" s="230" t="s">
        <v>524</v>
      </c>
      <c r="E1485" s="229" t="s">
        <v>16</v>
      </c>
      <c r="F1485" s="231">
        <v>529.54999999999995</v>
      </c>
      <c r="G1485" s="229" t="s">
        <v>1</v>
      </c>
      <c r="H1485" s="405">
        <f ca="1">INDEX(PRODUTIVIDADES!$M:$M,MATCH(tbAREAS[[#This Row],[TIPO DE ÁREA]],PRODUTIVIDADES!$B:$B,0)+MATCH(tbAREAS[[#This Row],[LOCALIDADE]],PRODUTIVIDADES!$A:$A,0)-3)*tbAREAS[[#This Row],[ÁREA EM M²]]</f>
        <v>413.04899999999998</v>
      </c>
      <c r="L1485" s="391"/>
    </row>
    <row r="1486" spans="1:12" hidden="1" x14ac:dyDescent="0.25">
      <c r="A1486" s="228" t="s">
        <v>2</v>
      </c>
      <c r="B1486" s="229" t="s">
        <v>111</v>
      </c>
      <c r="C1486" s="230" t="s">
        <v>523</v>
      </c>
      <c r="D1486" s="230" t="s">
        <v>524</v>
      </c>
      <c r="E1486" s="229" t="s">
        <v>18</v>
      </c>
      <c r="F1486" s="231">
        <v>4.0999999999999996</v>
      </c>
      <c r="G1486" s="229" t="s">
        <v>1</v>
      </c>
      <c r="H1486" s="405">
        <f ca="1">INDEX(PRODUTIVIDADES!$M:$M,MATCH(tbAREAS[[#This Row],[TIPO DE ÁREA]],PRODUTIVIDADES!$B:$B,0)+MATCH(tbAREAS[[#This Row],[LOCALIDADE]],PRODUTIVIDADES!$A:$A,0)-3)*tbAREAS[[#This Row],[ÁREA EM M²]]</f>
        <v>185.935</v>
      </c>
      <c r="L1486" s="391"/>
    </row>
    <row r="1487" spans="1:12" hidden="1" x14ac:dyDescent="0.25">
      <c r="A1487" s="228" t="s">
        <v>2</v>
      </c>
      <c r="B1487" s="229" t="s">
        <v>111</v>
      </c>
      <c r="C1487" s="230" t="s">
        <v>523</v>
      </c>
      <c r="D1487" s="230" t="s">
        <v>524</v>
      </c>
      <c r="E1487" s="229" t="s">
        <v>21</v>
      </c>
      <c r="F1487" s="231">
        <v>62.4</v>
      </c>
      <c r="G1487" s="229" t="s">
        <v>1</v>
      </c>
      <c r="H1487" s="405">
        <f ca="1">INDEX(PRODUTIVIDADES!$M:$M,MATCH(tbAREAS[[#This Row],[TIPO DE ÁREA]],PRODUTIVIDADES!$B:$B,0)+MATCH(tbAREAS[[#This Row],[LOCALIDADE]],PRODUTIVIDADES!$A:$A,0)-3)*tbAREAS[[#This Row],[ÁREA EM M²]]</f>
        <v>10.608000000000001</v>
      </c>
      <c r="L1487" s="391"/>
    </row>
    <row r="1488" spans="1:12" hidden="1" x14ac:dyDescent="0.25">
      <c r="A1488" s="228" t="s">
        <v>2</v>
      </c>
      <c r="B1488" s="229" t="s">
        <v>111</v>
      </c>
      <c r="C1488" s="230" t="s">
        <v>523</v>
      </c>
      <c r="D1488" s="230" t="s">
        <v>524</v>
      </c>
      <c r="E1488" s="229" t="s">
        <v>22</v>
      </c>
      <c r="F1488" s="231">
        <v>62.4</v>
      </c>
      <c r="G1488" s="229" t="s">
        <v>1</v>
      </c>
      <c r="H1488" s="405">
        <f ca="1">INDEX(PRODUTIVIDADES!$M:$M,MATCH(tbAREAS[[#This Row],[TIPO DE ÁREA]],PRODUTIVIDADES!$B:$B,0)+MATCH(tbAREAS[[#This Row],[LOCALIDADE]],PRODUTIVIDADES!$A:$A,0)-3)*tbAREAS[[#This Row],[ÁREA EM M²]]</f>
        <v>24.96</v>
      </c>
      <c r="L1488" s="391"/>
    </row>
    <row r="1489" spans="1:12" hidden="1" x14ac:dyDescent="0.25">
      <c r="A1489" s="228" t="s">
        <v>2</v>
      </c>
      <c r="B1489" s="229" t="s">
        <v>525</v>
      </c>
      <c r="C1489" s="230" t="s">
        <v>526</v>
      </c>
      <c r="D1489" s="230" t="s">
        <v>527</v>
      </c>
      <c r="E1489" s="229" t="s">
        <v>10</v>
      </c>
      <c r="F1489" s="231">
        <v>83.02</v>
      </c>
      <c r="G1489" s="229" t="s">
        <v>1</v>
      </c>
      <c r="H1489" s="405">
        <f ca="1">INDEX(PRODUTIVIDADES!$M:$M,MATCH(tbAREAS[[#This Row],[TIPO DE ÁREA]],PRODUTIVIDADES!$B:$B,0)+MATCH(tbAREAS[[#This Row],[LOCALIDADE]],PRODUTIVIDADES!$A:$A,0)-3)*tbAREAS[[#This Row],[ÁREA EM M²]]</f>
        <v>259.0224</v>
      </c>
      <c r="L1489" s="391"/>
    </row>
    <row r="1490" spans="1:12" hidden="1" x14ac:dyDescent="0.25">
      <c r="A1490" s="228" t="s">
        <v>2</v>
      </c>
      <c r="B1490" s="229" t="s">
        <v>525</v>
      </c>
      <c r="C1490" s="230" t="s">
        <v>526</v>
      </c>
      <c r="D1490" s="230" t="s">
        <v>527</v>
      </c>
      <c r="E1490" s="229" t="s">
        <v>16</v>
      </c>
      <c r="F1490" s="231">
        <v>941.33</v>
      </c>
      <c r="G1490" s="229" t="s">
        <v>1</v>
      </c>
      <c r="H1490" s="405">
        <f ca="1">INDEX(PRODUTIVIDADES!$M:$M,MATCH(tbAREAS[[#This Row],[TIPO DE ÁREA]],PRODUTIVIDADES!$B:$B,0)+MATCH(tbAREAS[[#This Row],[LOCALIDADE]],PRODUTIVIDADES!$A:$A,0)-3)*tbAREAS[[#This Row],[ÁREA EM M²]]</f>
        <v>734.23740000000009</v>
      </c>
      <c r="L1490" s="391"/>
    </row>
    <row r="1491" spans="1:12" hidden="1" x14ac:dyDescent="0.25">
      <c r="A1491" s="228" t="s">
        <v>2</v>
      </c>
      <c r="B1491" s="229" t="s">
        <v>525</v>
      </c>
      <c r="C1491" s="230" t="s">
        <v>526</v>
      </c>
      <c r="D1491" s="230" t="s">
        <v>527</v>
      </c>
      <c r="E1491" s="229" t="s">
        <v>18</v>
      </c>
      <c r="F1491" s="231">
        <v>23.82</v>
      </c>
      <c r="G1491" s="229" t="s">
        <v>1</v>
      </c>
      <c r="H1491" s="405">
        <f ca="1">INDEX(PRODUTIVIDADES!$M:$M,MATCH(tbAREAS[[#This Row],[TIPO DE ÁREA]],PRODUTIVIDADES!$B:$B,0)+MATCH(tbAREAS[[#This Row],[LOCALIDADE]],PRODUTIVIDADES!$A:$A,0)-3)*tbAREAS[[#This Row],[ÁREA EM M²]]</f>
        <v>1080.2370000000001</v>
      </c>
      <c r="L1491" s="391"/>
    </row>
    <row r="1492" spans="1:12" hidden="1" x14ac:dyDescent="0.25">
      <c r="A1492" s="228" t="s">
        <v>2</v>
      </c>
      <c r="B1492" s="229" t="s">
        <v>525</v>
      </c>
      <c r="C1492" s="230" t="s">
        <v>526</v>
      </c>
      <c r="D1492" s="230" t="s">
        <v>527</v>
      </c>
      <c r="E1492" s="229" t="s">
        <v>21</v>
      </c>
      <c r="F1492" s="231">
        <v>277.68</v>
      </c>
      <c r="G1492" s="229" t="s">
        <v>1</v>
      </c>
      <c r="H1492" s="405">
        <f ca="1">INDEX(PRODUTIVIDADES!$M:$M,MATCH(tbAREAS[[#This Row],[TIPO DE ÁREA]],PRODUTIVIDADES!$B:$B,0)+MATCH(tbAREAS[[#This Row],[LOCALIDADE]],PRODUTIVIDADES!$A:$A,0)-3)*tbAREAS[[#This Row],[ÁREA EM M²]]</f>
        <v>47.205600000000004</v>
      </c>
      <c r="L1492" s="391"/>
    </row>
    <row r="1493" spans="1:12" hidden="1" x14ac:dyDescent="0.25">
      <c r="A1493" s="228" t="s">
        <v>2</v>
      </c>
      <c r="B1493" s="229" t="s">
        <v>525</v>
      </c>
      <c r="C1493" s="230" t="s">
        <v>526</v>
      </c>
      <c r="D1493" s="230" t="s">
        <v>527</v>
      </c>
      <c r="E1493" s="229" t="s">
        <v>22</v>
      </c>
      <c r="F1493" s="231">
        <v>277.68</v>
      </c>
      <c r="G1493" s="229" t="s">
        <v>1</v>
      </c>
      <c r="H1493" s="405">
        <f ca="1">INDEX(PRODUTIVIDADES!$M:$M,MATCH(tbAREAS[[#This Row],[TIPO DE ÁREA]],PRODUTIVIDADES!$B:$B,0)+MATCH(tbAREAS[[#This Row],[LOCALIDADE]],PRODUTIVIDADES!$A:$A,0)-3)*tbAREAS[[#This Row],[ÁREA EM M²]]</f>
        <v>111.072</v>
      </c>
      <c r="L1493" s="391"/>
    </row>
    <row r="1494" spans="1:12" hidden="1" x14ac:dyDescent="0.25">
      <c r="A1494" s="228" t="s">
        <v>2</v>
      </c>
      <c r="B1494" s="234" t="s">
        <v>99</v>
      </c>
      <c r="C1494" s="230" t="s">
        <v>100</v>
      </c>
      <c r="D1494" s="230" t="s">
        <v>528</v>
      </c>
      <c r="E1494" s="229" t="s">
        <v>9</v>
      </c>
      <c r="F1494" s="231">
        <v>337.96</v>
      </c>
      <c r="G1494" s="229" t="s">
        <v>1</v>
      </c>
      <c r="H1494" s="405">
        <f ca="1">INDEX(PRODUTIVIDADES!$M:$M,MATCH(tbAREAS[[#This Row],[TIPO DE ÁREA]],PRODUTIVIDADES!$B:$B,0)+MATCH(tbAREAS[[#This Row],[LOCALIDADE]],PRODUTIVIDADES!$A:$A,0)-3)*tbAREAS[[#This Row],[ÁREA EM M²]]</f>
        <v>2636.0879999999997</v>
      </c>
      <c r="L1494" s="391"/>
    </row>
    <row r="1495" spans="1:12" hidden="1" x14ac:dyDescent="0.25">
      <c r="A1495" s="228" t="s">
        <v>2</v>
      </c>
      <c r="B1495" s="234" t="s">
        <v>99</v>
      </c>
      <c r="C1495" s="230" t="s">
        <v>100</v>
      </c>
      <c r="D1495" s="230" t="s">
        <v>528</v>
      </c>
      <c r="E1495" s="229" t="s">
        <v>10</v>
      </c>
      <c r="F1495" s="231">
        <v>315.92</v>
      </c>
      <c r="G1495" s="229" t="s">
        <v>1</v>
      </c>
      <c r="H1495" s="405">
        <f ca="1">INDEX(PRODUTIVIDADES!$M:$M,MATCH(tbAREAS[[#This Row],[TIPO DE ÁREA]],PRODUTIVIDADES!$B:$B,0)+MATCH(tbAREAS[[#This Row],[LOCALIDADE]],PRODUTIVIDADES!$A:$A,0)-3)*tbAREAS[[#This Row],[ÁREA EM M²]]</f>
        <v>985.67040000000009</v>
      </c>
      <c r="L1495" s="391"/>
    </row>
    <row r="1496" spans="1:12" hidden="1" x14ac:dyDescent="0.25">
      <c r="A1496" s="228" t="s">
        <v>2</v>
      </c>
      <c r="B1496" s="234" t="s">
        <v>99</v>
      </c>
      <c r="C1496" s="230" t="s">
        <v>100</v>
      </c>
      <c r="D1496" s="230" t="s">
        <v>528</v>
      </c>
      <c r="E1496" s="229" t="s">
        <v>13</v>
      </c>
      <c r="F1496" s="231">
        <v>76.88</v>
      </c>
      <c r="G1496" s="229" t="s">
        <v>1</v>
      </c>
      <c r="H1496" s="405">
        <f ca="1">INDEX(PRODUTIVIDADES!$M:$M,MATCH(tbAREAS[[#This Row],[TIPO DE ÁREA]],PRODUTIVIDADES!$B:$B,0)+MATCH(tbAREAS[[#This Row],[LOCALIDADE]],PRODUTIVIDADES!$A:$A,0)-3)*tbAREAS[[#This Row],[ÁREA EM M²]]</f>
        <v>239.8656</v>
      </c>
      <c r="L1496" s="391"/>
    </row>
    <row r="1497" spans="1:12" hidden="1" x14ac:dyDescent="0.25">
      <c r="A1497" s="228" t="s">
        <v>2</v>
      </c>
      <c r="B1497" s="234" t="s">
        <v>99</v>
      </c>
      <c r="C1497" s="230" t="s">
        <v>100</v>
      </c>
      <c r="D1497" s="230" t="s">
        <v>528</v>
      </c>
      <c r="E1497" s="229" t="s">
        <v>14</v>
      </c>
      <c r="F1497" s="231">
        <v>15.45</v>
      </c>
      <c r="G1497" s="229" t="s">
        <v>1</v>
      </c>
      <c r="H1497" s="405">
        <f ca="1">INDEX(PRODUTIVIDADES!$M:$M,MATCH(tbAREAS[[#This Row],[TIPO DE ÁREA]],PRODUTIVIDADES!$B:$B,0)+MATCH(tbAREAS[[#This Row],[LOCALIDADE]],PRODUTIVIDADES!$A:$A,0)-3)*tbAREAS[[#This Row],[ÁREA EM M²]]</f>
        <v>131.32499999999999</v>
      </c>
      <c r="L1497" s="391"/>
    </row>
    <row r="1498" spans="1:12" hidden="1" x14ac:dyDescent="0.25">
      <c r="A1498" s="228" t="s">
        <v>2</v>
      </c>
      <c r="B1498" s="234" t="s">
        <v>99</v>
      </c>
      <c r="C1498" s="230" t="s">
        <v>100</v>
      </c>
      <c r="D1498" s="230" t="s">
        <v>528</v>
      </c>
      <c r="E1498" s="229" t="s">
        <v>17</v>
      </c>
      <c r="F1498" s="231">
        <v>370.37</v>
      </c>
      <c r="G1498" s="229" t="s">
        <v>1</v>
      </c>
      <c r="H1498" s="405">
        <f ca="1">INDEX(PRODUTIVIDADES!$M:$M,MATCH(tbAREAS[[#This Row],[TIPO DE ÁREA]],PRODUTIVIDADES!$B:$B,0)+MATCH(tbAREAS[[#This Row],[LOCALIDADE]],PRODUTIVIDADES!$A:$A,0)-3)*tbAREAS[[#This Row],[ÁREA EM M²]]</f>
        <v>866.66579999999999</v>
      </c>
      <c r="L1498" s="391"/>
    </row>
    <row r="1499" spans="1:12" hidden="1" x14ac:dyDescent="0.25">
      <c r="A1499" s="228" t="s">
        <v>2</v>
      </c>
      <c r="B1499" s="234" t="s">
        <v>99</v>
      </c>
      <c r="C1499" s="230" t="s">
        <v>100</v>
      </c>
      <c r="D1499" s="230" t="s">
        <v>528</v>
      </c>
      <c r="E1499" s="229" t="s">
        <v>18</v>
      </c>
      <c r="F1499" s="231">
        <v>10.57</v>
      </c>
      <c r="G1499" s="229" t="s">
        <v>1</v>
      </c>
      <c r="H1499" s="405">
        <f ca="1">INDEX(PRODUTIVIDADES!$M:$M,MATCH(tbAREAS[[#This Row],[TIPO DE ÁREA]],PRODUTIVIDADES!$B:$B,0)+MATCH(tbAREAS[[#This Row],[LOCALIDADE]],PRODUTIVIDADES!$A:$A,0)-3)*tbAREAS[[#This Row],[ÁREA EM M²]]</f>
        <v>479.34950000000003</v>
      </c>
      <c r="L1499" s="391"/>
    </row>
    <row r="1500" spans="1:12" hidden="1" x14ac:dyDescent="0.25">
      <c r="A1500" s="228" t="s">
        <v>2</v>
      </c>
      <c r="B1500" s="234" t="s">
        <v>99</v>
      </c>
      <c r="C1500" s="230" t="s">
        <v>100</v>
      </c>
      <c r="D1500" s="230" t="s">
        <v>528</v>
      </c>
      <c r="E1500" s="229" t="s">
        <v>20</v>
      </c>
      <c r="F1500" s="231">
        <v>109.88</v>
      </c>
      <c r="G1500" s="229" t="s">
        <v>1</v>
      </c>
      <c r="H1500" s="405">
        <f ca="1">INDEX(PRODUTIVIDADES!$M:$M,MATCH(tbAREAS[[#This Row],[TIPO DE ÁREA]],PRODUTIVIDADES!$B:$B,0)+MATCH(tbAREAS[[#This Row],[LOCALIDADE]],PRODUTIVIDADES!$A:$A,0)-3)*tbAREAS[[#This Row],[ÁREA EM M²]]</f>
        <v>85.706400000000002</v>
      </c>
      <c r="L1500" s="391"/>
    </row>
    <row r="1501" spans="1:12" hidden="1" x14ac:dyDescent="0.25">
      <c r="A1501" s="228" t="s">
        <v>2</v>
      </c>
      <c r="B1501" s="234" t="s">
        <v>99</v>
      </c>
      <c r="C1501" s="230" t="s">
        <v>529</v>
      </c>
      <c r="D1501" s="230" t="s">
        <v>530</v>
      </c>
      <c r="E1501" s="229" t="s">
        <v>21</v>
      </c>
      <c r="F1501" s="231">
        <v>71</v>
      </c>
      <c r="G1501" s="229" t="s">
        <v>1</v>
      </c>
      <c r="H1501" s="405">
        <f ca="1">INDEX(PRODUTIVIDADES!$M:$M,MATCH(tbAREAS[[#This Row],[TIPO DE ÁREA]],PRODUTIVIDADES!$B:$B,0)+MATCH(tbAREAS[[#This Row],[LOCALIDADE]],PRODUTIVIDADES!$A:$A,0)-3)*tbAREAS[[#This Row],[ÁREA EM M²]]</f>
        <v>12.07</v>
      </c>
      <c r="L1501" s="391"/>
    </row>
    <row r="1502" spans="1:12" hidden="1" x14ac:dyDescent="0.25">
      <c r="A1502" s="228" t="s">
        <v>2</v>
      </c>
      <c r="B1502" s="234" t="s">
        <v>99</v>
      </c>
      <c r="C1502" s="230" t="s">
        <v>529</v>
      </c>
      <c r="D1502" s="230" t="s">
        <v>530</v>
      </c>
      <c r="E1502" s="229" t="s">
        <v>22</v>
      </c>
      <c r="F1502" s="231">
        <v>71</v>
      </c>
      <c r="G1502" s="229" t="s">
        <v>1</v>
      </c>
      <c r="H1502" s="405">
        <f ca="1">INDEX(PRODUTIVIDADES!$M:$M,MATCH(tbAREAS[[#This Row],[TIPO DE ÁREA]],PRODUTIVIDADES!$B:$B,0)+MATCH(tbAREAS[[#This Row],[LOCALIDADE]],PRODUTIVIDADES!$A:$A,0)-3)*tbAREAS[[#This Row],[ÁREA EM M²]]</f>
        <v>28.400000000000002</v>
      </c>
      <c r="L1502" s="391"/>
    </row>
    <row r="1503" spans="1:12" hidden="1" x14ac:dyDescent="0.25">
      <c r="A1503" s="228" t="s">
        <v>2</v>
      </c>
      <c r="B1503" s="234" t="s">
        <v>99</v>
      </c>
      <c r="C1503" s="230" t="s">
        <v>531</v>
      </c>
      <c r="D1503" s="230" t="s">
        <v>532</v>
      </c>
      <c r="E1503" s="229" t="s">
        <v>9</v>
      </c>
      <c r="F1503" s="231">
        <v>1345.77</v>
      </c>
      <c r="G1503" s="229" t="s">
        <v>1</v>
      </c>
      <c r="H1503" s="405">
        <f ca="1">INDEX(PRODUTIVIDADES!$M:$M,MATCH(tbAREAS[[#This Row],[TIPO DE ÁREA]],PRODUTIVIDADES!$B:$B,0)+MATCH(tbAREAS[[#This Row],[LOCALIDADE]],PRODUTIVIDADES!$A:$A,0)-3)*tbAREAS[[#This Row],[ÁREA EM M²]]</f>
        <v>10497.005999999999</v>
      </c>
      <c r="L1503" s="391"/>
    </row>
    <row r="1504" spans="1:12" hidden="1" x14ac:dyDescent="0.25">
      <c r="A1504" s="228" t="s">
        <v>2</v>
      </c>
      <c r="B1504" s="234" t="s">
        <v>99</v>
      </c>
      <c r="C1504" s="230" t="s">
        <v>531</v>
      </c>
      <c r="D1504" s="230" t="s">
        <v>532</v>
      </c>
      <c r="E1504" s="229" t="s">
        <v>10</v>
      </c>
      <c r="F1504" s="231">
        <v>2307.19</v>
      </c>
      <c r="G1504" s="229" t="s">
        <v>1</v>
      </c>
      <c r="H1504" s="405">
        <f ca="1">INDEX(PRODUTIVIDADES!$M:$M,MATCH(tbAREAS[[#This Row],[TIPO DE ÁREA]],PRODUTIVIDADES!$B:$B,0)+MATCH(tbAREAS[[#This Row],[LOCALIDADE]],PRODUTIVIDADES!$A:$A,0)-3)*tbAREAS[[#This Row],[ÁREA EM M²]]</f>
        <v>7198.4328000000005</v>
      </c>
      <c r="L1504" s="391"/>
    </row>
    <row r="1505" spans="1:12" hidden="1" x14ac:dyDescent="0.25">
      <c r="A1505" s="228" t="s">
        <v>2</v>
      </c>
      <c r="B1505" s="234" t="s">
        <v>99</v>
      </c>
      <c r="C1505" s="230" t="s">
        <v>531</v>
      </c>
      <c r="D1505" s="230" t="s">
        <v>532</v>
      </c>
      <c r="E1505" s="229" t="s">
        <v>13</v>
      </c>
      <c r="F1505" s="231">
        <v>108.52</v>
      </c>
      <c r="G1505" s="229" t="s">
        <v>1</v>
      </c>
      <c r="H1505" s="405">
        <f ca="1">INDEX(PRODUTIVIDADES!$M:$M,MATCH(tbAREAS[[#This Row],[TIPO DE ÁREA]],PRODUTIVIDADES!$B:$B,0)+MATCH(tbAREAS[[#This Row],[LOCALIDADE]],PRODUTIVIDADES!$A:$A,0)-3)*tbAREAS[[#This Row],[ÁREA EM M²]]</f>
        <v>338.58240000000001</v>
      </c>
      <c r="L1505" s="391"/>
    </row>
    <row r="1506" spans="1:12" hidden="1" x14ac:dyDescent="0.25">
      <c r="A1506" s="228" t="s">
        <v>2</v>
      </c>
      <c r="B1506" s="234" t="s">
        <v>99</v>
      </c>
      <c r="C1506" s="230" t="s">
        <v>531</v>
      </c>
      <c r="D1506" s="230" t="s">
        <v>532</v>
      </c>
      <c r="E1506" s="229" t="s">
        <v>14</v>
      </c>
      <c r="F1506" s="231">
        <v>1349.57</v>
      </c>
      <c r="G1506" s="229" t="s">
        <v>1</v>
      </c>
      <c r="H1506" s="405">
        <f ca="1">INDEX(PRODUTIVIDADES!$M:$M,MATCH(tbAREAS[[#This Row],[TIPO DE ÁREA]],PRODUTIVIDADES!$B:$B,0)+MATCH(tbAREAS[[#This Row],[LOCALIDADE]],PRODUTIVIDADES!$A:$A,0)-3)*tbAREAS[[#This Row],[ÁREA EM M²]]</f>
        <v>11471.344999999999</v>
      </c>
      <c r="L1506" s="391"/>
    </row>
    <row r="1507" spans="1:12" hidden="1" x14ac:dyDescent="0.25">
      <c r="A1507" s="228" t="s">
        <v>2</v>
      </c>
      <c r="B1507" s="234" t="s">
        <v>99</v>
      </c>
      <c r="C1507" s="230" t="s">
        <v>531</v>
      </c>
      <c r="D1507" s="230" t="s">
        <v>532</v>
      </c>
      <c r="E1507" s="229" t="s">
        <v>17</v>
      </c>
      <c r="F1507" s="231">
        <v>2293.5700000000002</v>
      </c>
      <c r="G1507" s="229" t="s">
        <v>1</v>
      </c>
      <c r="H1507" s="405">
        <f ca="1">INDEX(PRODUTIVIDADES!$M:$M,MATCH(tbAREAS[[#This Row],[TIPO DE ÁREA]],PRODUTIVIDADES!$B:$B,0)+MATCH(tbAREAS[[#This Row],[LOCALIDADE]],PRODUTIVIDADES!$A:$A,0)-3)*tbAREAS[[#This Row],[ÁREA EM M²]]</f>
        <v>5366.9538000000002</v>
      </c>
      <c r="L1507" s="391"/>
    </row>
    <row r="1508" spans="1:12" hidden="1" x14ac:dyDescent="0.25">
      <c r="A1508" s="228" t="s">
        <v>2</v>
      </c>
      <c r="B1508" s="234" t="s">
        <v>99</v>
      </c>
      <c r="C1508" s="230" t="s">
        <v>531</v>
      </c>
      <c r="D1508" s="230" t="s">
        <v>532</v>
      </c>
      <c r="E1508" s="229" t="s">
        <v>18</v>
      </c>
      <c r="F1508" s="231">
        <v>207.67000000000002</v>
      </c>
      <c r="G1508" s="229" t="s">
        <v>1</v>
      </c>
      <c r="H1508" s="405">
        <f ca="1">INDEX(PRODUTIVIDADES!$M:$M,MATCH(tbAREAS[[#This Row],[TIPO DE ÁREA]],PRODUTIVIDADES!$B:$B,0)+MATCH(tbAREAS[[#This Row],[LOCALIDADE]],PRODUTIVIDADES!$A:$A,0)-3)*tbAREAS[[#This Row],[ÁREA EM M²]]</f>
        <v>9417.8345000000008</v>
      </c>
      <c r="L1508" s="391"/>
    </row>
    <row r="1509" spans="1:12" hidden="1" x14ac:dyDescent="0.25">
      <c r="A1509" s="228" t="s">
        <v>2</v>
      </c>
      <c r="B1509" s="234" t="s">
        <v>99</v>
      </c>
      <c r="C1509" s="230" t="s">
        <v>531</v>
      </c>
      <c r="D1509" s="230" t="s">
        <v>532</v>
      </c>
      <c r="E1509" s="229" t="s">
        <v>21</v>
      </c>
      <c r="F1509" s="231">
        <v>1880.27</v>
      </c>
      <c r="G1509" s="229" t="s">
        <v>1</v>
      </c>
      <c r="H1509" s="405">
        <f ca="1">INDEX(PRODUTIVIDADES!$M:$M,MATCH(tbAREAS[[#This Row],[TIPO DE ÁREA]],PRODUTIVIDADES!$B:$B,0)+MATCH(tbAREAS[[#This Row],[LOCALIDADE]],PRODUTIVIDADES!$A:$A,0)-3)*tbAREAS[[#This Row],[ÁREA EM M²]]</f>
        <v>319.64590000000004</v>
      </c>
      <c r="L1509" s="391"/>
    </row>
    <row r="1510" spans="1:12" hidden="1" x14ac:dyDescent="0.25">
      <c r="A1510" s="228" t="s">
        <v>2</v>
      </c>
      <c r="B1510" s="234" t="s">
        <v>99</v>
      </c>
      <c r="C1510" s="230" t="s">
        <v>531</v>
      </c>
      <c r="D1510" s="230" t="s">
        <v>532</v>
      </c>
      <c r="E1510" s="229" t="s">
        <v>22</v>
      </c>
      <c r="F1510" s="231">
        <v>1880.27</v>
      </c>
      <c r="G1510" s="229" t="s">
        <v>1</v>
      </c>
      <c r="H1510" s="405">
        <f ca="1">INDEX(PRODUTIVIDADES!$M:$M,MATCH(tbAREAS[[#This Row],[TIPO DE ÁREA]],PRODUTIVIDADES!$B:$B,0)+MATCH(tbAREAS[[#This Row],[LOCALIDADE]],PRODUTIVIDADES!$A:$A,0)-3)*tbAREAS[[#This Row],[ÁREA EM M²]]</f>
        <v>752.10800000000006</v>
      </c>
      <c r="L1510" s="391"/>
    </row>
    <row r="1511" spans="1:12" hidden="1" x14ac:dyDescent="0.25">
      <c r="A1511" s="228" t="s">
        <v>2</v>
      </c>
      <c r="B1511" s="234" t="s">
        <v>109</v>
      </c>
      <c r="C1511" s="230" t="s">
        <v>533</v>
      </c>
      <c r="D1511" s="230" t="s">
        <v>534</v>
      </c>
      <c r="E1511" s="229" t="s">
        <v>9</v>
      </c>
      <c r="F1511" s="231">
        <v>46.45</v>
      </c>
      <c r="G1511" s="229" t="s">
        <v>1</v>
      </c>
      <c r="H1511" s="405">
        <f ca="1">INDEX(PRODUTIVIDADES!$M:$M,MATCH(tbAREAS[[#This Row],[TIPO DE ÁREA]],PRODUTIVIDADES!$B:$B,0)+MATCH(tbAREAS[[#This Row],[LOCALIDADE]],PRODUTIVIDADES!$A:$A,0)-3)*tbAREAS[[#This Row],[ÁREA EM M²]]</f>
        <v>362.31</v>
      </c>
      <c r="L1511" s="391"/>
    </row>
    <row r="1512" spans="1:12" hidden="1" x14ac:dyDescent="0.25">
      <c r="A1512" s="228" t="s">
        <v>2</v>
      </c>
      <c r="B1512" s="234" t="s">
        <v>109</v>
      </c>
      <c r="C1512" s="230" t="s">
        <v>533</v>
      </c>
      <c r="D1512" s="230" t="s">
        <v>534</v>
      </c>
      <c r="E1512" s="229" t="s">
        <v>10</v>
      </c>
      <c r="F1512" s="231">
        <v>462.26</v>
      </c>
      <c r="G1512" s="229" t="s">
        <v>1</v>
      </c>
      <c r="H1512" s="405">
        <f ca="1">INDEX(PRODUTIVIDADES!$M:$M,MATCH(tbAREAS[[#This Row],[TIPO DE ÁREA]],PRODUTIVIDADES!$B:$B,0)+MATCH(tbAREAS[[#This Row],[LOCALIDADE]],PRODUTIVIDADES!$A:$A,0)-3)*tbAREAS[[#This Row],[ÁREA EM M²]]</f>
        <v>1442.2511999999999</v>
      </c>
      <c r="L1512" s="391"/>
    </row>
    <row r="1513" spans="1:12" hidden="1" x14ac:dyDescent="0.25">
      <c r="A1513" s="228" t="s">
        <v>2</v>
      </c>
      <c r="B1513" s="234" t="s">
        <v>109</v>
      </c>
      <c r="C1513" s="230" t="s">
        <v>533</v>
      </c>
      <c r="D1513" s="230" t="s">
        <v>534</v>
      </c>
      <c r="E1513" s="229" t="s">
        <v>13</v>
      </c>
      <c r="F1513" s="231">
        <v>78.95</v>
      </c>
      <c r="G1513" s="229" t="s">
        <v>1</v>
      </c>
      <c r="H1513" s="405">
        <f ca="1">INDEX(PRODUTIVIDADES!$M:$M,MATCH(tbAREAS[[#This Row],[TIPO DE ÁREA]],PRODUTIVIDADES!$B:$B,0)+MATCH(tbAREAS[[#This Row],[LOCALIDADE]],PRODUTIVIDADES!$A:$A,0)-3)*tbAREAS[[#This Row],[ÁREA EM M²]]</f>
        <v>246.32400000000001</v>
      </c>
      <c r="L1513" s="391"/>
    </row>
    <row r="1514" spans="1:12" hidden="1" x14ac:dyDescent="0.25">
      <c r="A1514" s="228" t="s">
        <v>2</v>
      </c>
      <c r="B1514" s="234" t="s">
        <v>109</v>
      </c>
      <c r="C1514" s="230" t="s">
        <v>533</v>
      </c>
      <c r="D1514" s="230" t="s">
        <v>534</v>
      </c>
      <c r="E1514" s="229" t="s">
        <v>15</v>
      </c>
      <c r="F1514" s="231">
        <v>4.83</v>
      </c>
      <c r="G1514" s="229" t="s">
        <v>1</v>
      </c>
      <c r="H1514" s="405">
        <f ca="1">INDEX(PRODUTIVIDADES!$M:$M,MATCH(tbAREAS[[#This Row],[TIPO DE ÁREA]],PRODUTIVIDADES!$B:$B,0)+MATCH(tbAREAS[[#This Row],[LOCALIDADE]],PRODUTIVIDADES!$A:$A,0)-3)*tbAREAS[[#This Row],[ÁREA EM M²]]</f>
        <v>3.3327</v>
      </c>
      <c r="L1514" s="391"/>
    </row>
    <row r="1515" spans="1:12" hidden="1" x14ac:dyDescent="0.25">
      <c r="A1515" s="228" t="s">
        <v>2</v>
      </c>
      <c r="B1515" s="234" t="s">
        <v>109</v>
      </c>
      <c r="C1515" s="230" t="s">
        <v>533</v>
      </c>
      <c r="D1515" s="230" t="s">
        <v>534</v>
      </c>
      <c r="E1515" s="229" t="s">
        <v>17</v>
      </c>
      <c r="F1515" s="231">
        <v>125.33000000000001</v>
      </c>
      <c r="G1515" s="229" t="s">
        <v>1</v>
      </c>
      <c r="H1515" s="405">
        <f ca="1">INDEX(PRODUTIVIDADES!$M:$M,MATCH(tbAREAS[[#This Row],[TIPO DE ÁREA]],PRODUTIVIDADES!$B:$B,0)+MATCH(tbAREAS[[#This Row],[LOCALIDADE]],PRODUTIVIDADES!$A:$A,0)-3)*tbAREAS[[#This Row],[ÁREA EM M²]]</f>
        <v>293.2722</v>
      </c>
      <c r="L1515" s="391"/>
    </row>
    <row r="1516" spans="1:12" hidden="1" x14ac:dyDescent="0.25">
      <c r="A1516" s="228" t="s">
        <v>2</v>
      </c>
      <c r="B1516" s="234" t="s">
        <v>109</v>
      </c>
      <c r="C1516" s="230" t="s">
        <v>533</v>
      </c>
      <c r="D1516" s="230" t="s">
        <v>534</v>
      </c>
      <c r="E1516" s="229" t="s">
        <v>18</v>
      </c>
      <c r="F1516" s="231">
        <v>55.750000000000007</v>
      </c>
      <c r="G1516" s="229" t="s">
        <v>1</v>
      </c>
      <c r="H1516" s="405">
        <f ca="1">INDEX(PRODUTIVIDADES!$M:$M,MATCH(tbAREAS[[#This Row],[TIPO DE ÁREA]],PRODUTIVIDADES!$B:$B,0)+MATCH(tbAREAS[[#This Row],[LOCALIDADE]],PRODUTIVIDADES!$A:$A,0)-3)*tbAREAS[[#This Row],[ÁREA EM M²]]</f>
        <v>2528.2625000000003</v>
      </c>
      <c r="L1516" s="391"/>
    </row>
    <row r="1517" spans="1:12" hidden="1" x14ac:dyDescent="0.25">
      <c r="A1517" s="228" t="s">
        <v>2</v>
      </c>
      <c r="B1517" s="234" t="s">
        <v>109</v>
      </c>
      <c r="C1517" s="230" t="s">
        <v>533</v>
      </c>
      <c r="D1517" s="230" t="s">
        <v>534</v>
      </c>
      <c r="E1517" s="229" t="s">
        <v>20</v>
      </c>
      <c r="F1517" s="231">
        <v>25.54</v>
      </c>
      <c r="G1517" s="229" t="s">
        <v>1</v>
      </c>
      <c r="H1517" s="405">
        <f ca="1">INDEX(PRODUTIVIDADES!$M:$M,MATCH(tbAREAS[[#This Row],[TIPO DE ÁREA]],PRODUTIVIDADES!$B:$B,0)+MATCH(tbAREAS[[#This Row],[LOCALIDADE]],PRODUTIVIDADES!$A:$A,0)-3)*tbAREAS[[#This Row],[ÁREA EM M²]]</f>
        <v>19.921199999999999</v>
      </c>
      <c r="L1517" s="391"/>
    </row>
    <row r="1518" spans="1:12" hidden="1" x14ac:dyDescent="0.25">
      <c r="A1518" s="228" t="s">
        <v>2</v>
      </c>
      <c r="B1518" s="234" t="s">
        <v>109</v>
      </c>
      <c r="C1518" s="230" t="s">
        <v>533</v>
      </c>
      <c r="D1518" s="230" t="s">
        <v>534</v>
      </c>
      <c r="E1518" s="229" t="s">
        <v>21</v>
      </c>
      <c r="F1518" s="231">
        <v>159.86000000000001</v>
      </c>
      <c r="G1518" s="229" t="s">
        <v>1</v>
      </c>
      <c r="H1518" s="405">
        <f ca="1">INDEX(PRODUTIVIDADES!$M:$M,MATCH(tbAREAS[[#This Row],[TIPO DE ÁREA]],PRODUTIVIDADES!$B:$B,0)+MATCH(tbAREAS[[#This Row],[LOCALIDADE]],PRODUTIVIDADES!$A:$A,0)-3)*tbAREAS[[#This Row],[ÁREA EM M²]]</f>
        <v>27.176200000000005</v>
      </c>
      <c r="L1518" s="391"/>
    </row>
    <row r="1519" spans="1:12" hidden="1" x14ac:dyDescent="0.25">
      <c r="A1519" s="228" t="s">
        <v>2</v>
      </c>
      <c r="B1519" s="234" t="s">
        <v>109</v>
      </c>
      <c r="C1519" s="230" t="s">
        <v>533</v>
      </c>
      <c r="D1519" s="230" t="s">
        <v>534</v>
      </c>
      <c r="E1519" s="229" t="s">
        <v>22</v>
      </c>
      <c r="F1519" s="231">
        <v>159.86000000000001</v>
      </c>
      <c r="G1519" s="229" t="s">
        <v>1</v>
      </c>
      <c r="H1519" s="405">
        <f ca="1">INDEX(PRODUTIVIDADES!$M:$M,MATCH(tbAREAS[[#This Row],[TIPO DE ÁREA]],PRODUTIVIDADES!$B:$B,0)+MATCH(tbAREAS[[#This Row],[LOCALIDADE]],PRODUTIVIDADES!$A:$A,0)-3)*tbAREAS[[#This Row],[ÁREA EM M²]]</f>
        <v>63.94400000000001</v>
      </c>
      <c r="L1519" s="391"/>
    </row>
    <row r="1520" spans="1:12" hidden="1" x14ac:dyDescent="0.25">
      <c r="A1520" s="228" t="s">
        <v>2</v>
      </c>
      <c r="B1520" s="234" t="s">
        <v>109</v>
      </c>
      <c r="C1520" s="230" t="s">
        <v>97</v>
      </c>
      <c r="D1520" s="230" t="s">
        <v>535</v>
      </c>
      <c r="E1520" s="229" t="s">
        <v>10</v>
      </c>
      <c r="F1520" s="231">
        <v>1184.77</v>
      </c>
      <c r="G1520" s="229" t="s">
        <v>1</v>
      </c>
      <c r="H1520" s="405">
        <f ca="1">INDEX(PRODUTIVIDADES!$M:$M,MATCH(tbAREAS[[#This Row],[TIPO DE ÁREA]],PRODUTIVIDADES!$B:$B,0)+MATCH(tbAREAS[[#This Row],[LOCALIDADE]],PRODUTIVIDADES!$A:$A,0)-3)*tbAREAS[[#This Row],[ÁREA EM M²]]</f>
        <v>3696.4823999999999</v>
      </c>
      <c r="L1520" s="391"/>
    </row>
    <row r="1521" spans="1:12" hidden="1" x14ac:dyDescent="0.25">
      <c r="A1521" s="228" t="s">
        <v>2</v>
      </c>
      <c r="B1521" s="234" t="s">
        <v>109</v>
      </c>
      <c r="C1521" s="230" t="s">
        <v>97</v>
      </c>
      <c r="D1521" s="230" t="s">
        <v>535</v>
      </c>
      <c r="E1521" s="229" t="s">
        <v>13</v>
      </c>
      <c r="F1521" s="231">
        <v>76.05</v>
      </c>
      <c r="G1521" s="229" t="s">
        <v>1</v>
      </c>
      <c r="H1521" s="405">
        <f ca="1">INDEX(PRODUTIVIDADES!$M:$M,MATCH(tbAREAS[[#This Row],[TIPO DE ÁREA]],PRODUTIVIDADES!$B:$B,0)+MATCH(tbAREAS[[#This Row],[LOCALIDADE]],PRODUTIVIDADES!$A:$A,0)-3)*tbAREAS[[#This Row],[ÁREA EM M²]]</f>
        <v>237.27600000000001</v>
      </c>
      <c r="L1521" s="391"/>
    </row>
    <row r="1522" spans="1:12" hidden="1" x14ac:dyDescent="0.25">
      <c r="A1522" s="228" t="s">
        <v>2</v>
      </c>
      <c r="B1522" s="234" t="s">
        <v>109</v>
      </c>
      <c r="C1522" s="230" t="s">
        <v>97</v>
      </c>
      <c r="D1522" s="230" t="s">
        <v>535</v>
      </c>
      <c r="E1522" s="229" t="s">
        <v>14</v>
      </c>
      <c r="F1522" s="231">
        <v>39.71</v>
      </c>
      <c r="G1522" s="229" t="s">
        <v>1</v>
      </c>
      <c r="H1522" s="405">
        <f ca="1">INDEX(PRODUTIVIDADES!$M:$M,MATCH(tbAREAS[[#This Row],[TIPO DE ÁREA]],PRODUTIVIDADES!$B:$B,0)+MATCH(tbAREAS[[#This Row],[LOCALIDADE]],PRODUTIVIDADES!$A:$A,0)-3)*tbAREAS[[#This Row],[ÁREA EM M²]]</f>
        <v>337.53500000000003</v>
      </c>
      <c r="L1522" s="391"/>
    </row>
    <row r="1523" spans="1:12" hidden="1" x14ac:dyDescent="0.25">
      <c r="A1523" s="228" t="s">
        <v>2</v>
      </c>
      <c r="B1523" s="234" t="s">
        <v>109</v>
      </c>
      <c r="C1523" s="230" t="s">
        <v>97</v>
      </c>
      <c r="D1523" s="230" t="s">
        <v>535</v>
      </c>
      <c r="E1523" s="229" t="s">
        <v>17</v>
      </c>
      <c r="F1523" s="231">
        <v>501.76</v>
      </c>
      <c r="G1523" s="229" t="s">
        <v>1</v>
      </c>
      <c r="H1523" s="405">
        <f ca="1">INDEX(PRODUTIVIDADES!$M:$M,MATCH(tbAREAS[[#This Row],[TIPO DE ÁREA]],PRODUTIVIDADES!$B:$B,0)+MATCH(tbAREAS[[#This Row],[LOCALIDADE]],PRODUTIVIDADES!$A:$A,0)-3)*tbAREAS[[#This Row],[ÁREA EM M²]]</f>
        <v>1174.1183999999998</v>
      </c>
      <c r="L1523" s="391"/>
    </row>
    <row r="1524" spans="1:12" hidden="1" x14ac:dyDescent="0.25">
      <c r="A1524" s="228" t="s">
        <v>2</v>
      </c>
      <c r="B1524" s="234" t="s">
        <v>109</v>
      </c>
      <c r="C1524" s="230" t="s">
        <v>97</v>
      </c>
      <c r="D1524" s="230" t="s">
        <v>535</v>
      </c>
      <c r="E1524" s="229" t="s">
        <v>18</v>
      </c>
      <c r="F1524" s="231">
        <v>71.25</v>
      </c>
      <c r="G1524" s="229" t="s">
        <v>1</v>
      </c>
      <c r="H1524" s="405">
        <f ca="1">INDEX(PRODUTIVIDADES!$M:$M,MATCH(tbAREAS[[#This Row],[TIPO DE ÁREA]],PRODUTIVIDADES!$B:$B,0)+MATCH(tbAREAS[[#This Row],[LOCALIDADE]],PRODUTIVIDADES!$A:$A,0)-3)*tbAREAS[[#This Row],[ÁREA EM M²]]</f>
        <v>3231.1875</v>
      </c>
      <c r="L1524" s="391"/>
    </row>
    <row r="1525" spans="1:12" hidden="1" x14ac:dyDescent="0.25">
      <c r="A1525" s="228" t="s">
        <v>2</v>
      </c>
      <c r="B1525" s="234" t="s">
        <v>109</v>
      </c>
      <c r="C1525" s="230" t="s">
        <v>97</v>
      </c>
      <c r="D1525" s="230" t="s">
        <v>535</v>
      </c>
      <c r="E1525" s="229" t="s">
        <v>21</v>
      </c>
      <c r="F1525" s="231">
        <v>213.53</v>
      </c>
      <c r="G1525" s="229" t="s">
        <v>1</v>
      </c>
      <c r="H1525" s="405">
        <f ca="1">INDEX(PRODUTIVIDADES!$M:$M,MATCH(tbAREAS[[#This Row],[TIPO DE ÁREA]],PRODUTIVIDADES!$B:$B,0)+MATCH(tbAREAS[[#This Row],[LOCALIDADE]],PRODUTIVIDADES!$A:$A,0)-3)*tbAREAS[[#This Row],[ÁREA EM M²]]</f>
        <v>36.3001</v>
      </c>
      <c r="L1525" s="391"/>
    </row>
    <row r="1526" spans="1:12" hidden="1" x14ac:dyDescent="0.25">
      <c r="A1526" s="228" t="s">
        <v>2</v>
      </c>
      <c r="B1526" s="234" t="s">
        <v>109</v>
      </c>
      <c r="C1526" s="230" t="s">
        <v>97</v>
      </c>
      <c r="D1526" s="230" t="s">
        <v>535</v>
      </c>
      <c r="E1526" s="229" t="s">
        <v>22</v>
      </c>
      <c r="F1526" s="231">
        <v>213.53</v>
      </c>
      <c r="G1526" s="229" t="s">
        <v>1</v>
      </c>
      <c r="H1526" s="405">
        <f ca="1">INDEX(PRODUTIVIDADES!$M:$M,MATCH(tbAREAS[[#This Row],[TIPO DE ÁREA]],PRODUTIVIDADES!$B:$B,0)+MATCH(tbAREAS[[#This Row],[LOCALIDADE]],PRODUTIVIDADES!$A:$A,0)-3)*tbAREAS[[#This Row],[ÁREA EM M²]]</f>
        <v>85.412000000000006</v>
      </c>
      <c r="L1526" s="391"/>
    </row>
    <row r="1527" spans="1:12" hidden="1" x14ac:dyDescent="0.25">
      <c r="A1527" s="228" t="s">
        <v>2</v>
      </c>
      <c r="B1527" s="234" t="s">
        <v>96</v>
      </c>
      <c r="C1527" s="230" t="s">
        <v>97</v>
      </c>
      <c r="D1527" s="230" t="s">
        <v>535</v>
      </c>
      <c r="E1527" s="229" t="s">
        <v>10</v>
      </c>
      <c r="F1527" s="231">
        <v>597.98</v>
      </c>
      <c r="G1527" s="229" t="s">
        <v>1</v>
      </c>
      <c r="H1527" s="405">
        <f ca="1">INDEX(PRODUTIVIDADES!$M:$M,MATCH(tbAREAS[[#This Row],[TIPO DE ÁREA]],PRODUTIVIDADES!$B:$B,0)+MATCH(tbAREAS[[#This Row],[LOCALIDADE]],PRODUTIVIDADES!$A:$A,0)-3)*tbAREAS[[#This Row],[ÁREA EM M²]]</f>
        <v>1865.6976000000002</v>
      </c>
      <c r="L1527" s="391"/>
    </row>
    <row r="1528" spans="1:12" hidden="1" x14ac:dyDescent="0.25">
      <c r="A1528" s="228" t="s">
        <v>2</v>
      </c>
      <c r="B1528" s="234" t="s">
        <v>96</v>
      </c>
      <c r="C1528" s="230" t="s">
        <v>97</v>
      </c>
      <c r="D1528" s="230" t="s">
        <v>535</v>
      </c>
      <c r="E1528" s="229" t="s">
        <v>14</v>
      </c>
      <c r="F1528" s="231">
        <v>39.71</v>
      </c>
      <c r="G1528" s="229" t="s">
        <v>1</v>
      </c>
      <c r="H1528" s="405">
        <f ca="1">INDEX(PRODUTIVIDADES!$M:$M,MATCH(tbAREAS[[#This Row],[TIPO DE ÁREA]],PRODUTIVIDADES!$B:$B,0)+MATCH(tbAREAS[[#This Row],[LOCALIDADE]],PRODUTIVIDADES!$A:$A,0)-3)*tbAREAS[[#This Row],[ÁREA EM M²]]</f>
        <v>337.53500000000003</v>
      </c>
      <c r="L1528" s="391"/>
    </row>
    <row r="1529" spans="1:12" hidden="1" x14ac:dyDescent="0.25">
      <c r="A1529" s="228" t="s">
        <v>2</v>
      </c>
      <c r="B1529" s="234" t="s">
        <v>96</v>
      </c>
      <c r="C1529" s="230" t="s">
        <v>97</v>
      </c>
      <c r="D1529" s="230" t="s">
        <v>535</v>
      </c>
      <c r="E1529" s="229" t="s">
        <v>17</v>
      </c>
      <c r="F1529" s="231">
        <v>200.33</v>
      </c>
      <c r="G1529" s="229" t="s">
        <v>1</v>
      </c>
      <c r="H1529" s="405">
        <f ca="1">INDEX(PRODUTIVIDADES!$M:$M,MATCH(tbAREAS[[#This Row],[TIPO DE ÁREA]],PRODUTIVIDADES!$B:$B,0)+MATCH(tbAREAS[[#This Row],[LOCALIDADE]],PRODUTIVIDADES!$A:$A,0)-3)*tbAREAS[[#This Row],[ÁREA EM M²]]</f>
        <v>468.7722</v>
      </c>
      <c r="L1529" s="391"/>
    </row>
    <row r="1530" spans="1:12" hidden="1" x14ac:dyDescent="0.25">
      <c r="A1530" s="228" t="s">
        <v>2</v>
      </c>
      <c r="B1530" s="234" t="s">
        <v>96</v>
      </c>
      <c r="C1530" s="230" t="s">
        <v>97</v>
      </c>
      <c r="D1530" s="230" t="s">
        <v>535</v>
      </c>
      <c r="E1530" s="229" t="s">
        <v>18</v>
      </c>
      <c r="F1530" s="231">
        <v>35.630000000000003</v>
      </c>
      <c r="G1530" s="229" t="s">
        <v>1</v>
      </c>
      <c r="H1530" s="405">
        <f ca="1">INDEX(PRODUTIVIDADES!$M:$M,MATCH(tbAREAS[[#This Row],[TIPO DE ÁREA]],PRODUTIVIDADES!$B:$B,0)+MATCH(tbAREAS[[#This Row],[LOCALIDADE]],PRODUTIVIDADES!$A:$A,0)-3)*tbAREAS[[#This Row],[ÁREA EM M²]]</f>
        <v>1615.8205000000003</v>
      </c>
      <c r="L1530" s="391"/>
    </row>
    <row r="1531" spans="1:12" hidden="1" x14ac:dyDescent="0.25">
      <c r="A1531" s="228" t="s">
        <v>2</v>
      </c>
      <c r="B1531" s="234" t="s">
        <v>96</v>
      </c>
      <c r="C1531" s="230" t="s">
        <v>97</v>
      </c>
      <c r="D1531" s="230" t="s">
        <v>535</v>
      </c>
      <c r="E1531" s="229" t="s">
        <v>21</v>
      </c>
      <c r="F1531" s="231">
        <v>97.83</v>
      </c>
      <c r="G1531" s="229" t="s">
        <v>1</v>
      </c>
      <c r="H1531" s="405">
        <f ca="1">INDEX(PRODUTIVIDADES!$M:$M,MATCH(tbAREAS[[#This Row],[TIPO DE ÁREA]],PRODUTIVIDADES!$B:$B,0)+MATCH(tbAREAS[[#This Row],[LOCALIDADE]],PRODUTIVIDADES!$A:$A,0)-3)*tbAREAS[[#This Row],[ÁREA EM M²]]</f>
        <v>16.6311</v>
      </c>
      <c r="L1531" s="391"/>
    </row>
    <row r="1532" spans="1:12" hidden="1" x14ac:dyDescent="0.25">
      <c r="A1532" s="228" t="s">
        <v>2</v>
      </c>
      <c r="B1532" s="234" t="s">
        <v>96</v>
      </c>
      <c r="C1532" s="230" t="s">
        <v>97</v>
      </c>
      <c r="D1532" s="230" t="s">
        <v>535</v>
      </c>
      <c r="E1532" s="229" t="s">
        <v>22</v>
      </c>
      <c r="F1532" s="231">
        <v>97.83</v>
      </c>
      <c r="G1532" s="229" t="s">
        <v>1</v>
      </c>
      <c r="H1532" s="405">
        <f ca="1">INDEX(PRODUTIVIDADES!$M:$M,MATCH(tbAREAS[[#This Row],[TIPO DE ÁREA]],PRODUTIVIDADES!$B:$B,0)+MATCH(tbAREAS[[#This Row],[LOCALIDADE]],PRODUTIVIDADES!$A:$A,0)-3)*tbAREAS[[#This Row],[ÁREA EM M²]]</f>
        <v>39.132000000000005</v>
      </c>
      <c r="L1532" s="391"/>
    </row>
    <row r="1533" spans="1:12" hidden="1" x14ac:dyDescent="0.25">
      <c r="A1533" s="228" t="s">
        <v>2</v>
      </c>
      <c r="B1533" s="234" t="s">
        <v>109</v>
      </c>
      <c r="C1533" s="230" t="s">
        <v>536</v>
      </c>
      <c r="D1533" s="230" t="s">
        <v>537</v>
      </c>
      <c r="E1533" s="229" t="s">
        <v>10</v>
      </c>
      <c r="F1533" s="231">
        <v>579.22</v>
      </c>
      <c r="G1533" s="229" t="s">
        <v>1</v>
      </c>
      <c r="H1533" s="405">
        <f ca="1">INDEX(PRODUTIVIDADES!$M:$M,MATCH(tbAREAS[[#This Row],[TIPO DE ÁREA]],PRODUTIVIDADES!$B:$B,0)+MATCH(tbAREAS[[#This Row],[LOCALIDADE]],PRODUTIVIDADES!$A:$A,0)-3)*tbAREAS[[#This Row],[ÁREA EM M²]]</f>
        <v>1807.1664000000001</v>
      </c>
      <c r="L1533" s="391"/>
    </row>
    <row r="1534" spans="1:12" hidden="1" x14ac:dyDescent="0.25">
      <c r="A1534" s="228" t="s">
        <v>2</v>
      </c>
      <c r="B1534" s="234" t="s">
        <v>109</v>
      </c>
      <c r="C1534" s="230" t="s">
        <v>536</v>
      </c>
      <c r="D1534" s="230" t="s">
        <v>537</v>
      </c>
      <c r="E1534" s="229" t="s">
        <v>17</v>
      </c>
      <c r="F1534" s="231">
        <v>175.93</v>
      </c>
      <c r="G1534" s="229" t="s">
        <v>1</v>
      </c>
      <c r="H1534" s="405">
        <f ca="1">INDEX(PRODUTIVIDADES!$M:$M,MATCH(tbAREAS[[#This Row],[TIPO DE ÁREA]],PRODUTIVIDADES!$B:$B,0)+MATCH(tbAREAS[[#This Row],[LOCALIDADE]],PRODUTIVIDADES!$A:$A,0)-3)*tbAREAS[[#This Row],[ÁREA EM M²]]</f>
        <v>411.67619999999999</v>
      </c>
      <c r="L1534" s="391"/>
    </row>
    <row r="1535" spans="1:12" hidden="1" x14ac:dyDescent="0.25">
      <c r="A1535" s="228" t="s">
        <v>2</v>
      </c>
      <c r="B1535" s="234" t="s">
        <v>109</v>
      </c>
      <c r="C1535" s="230" t="s">
        <v>536</v>
      </c>
      <c r="D1535" s="230" t="s">
        <v>537</v>
      </c>
      <c r="E1535" s="229" t="s">
        <v>18</v>
      </c>
      <c r="F1535" s="231">
        <v>28.02</v>
      </c>
      <c r="G1535" s="229" t="s">
        <v>1</v>
      </c>
      <c r="H1535" s="405">
        <f ca="1">INDEX(PRODUTIVIDADES!$M:$M,MATCH(tbAREAS[[#This Row],[TIPO DE ÁREA]],PRODUTIVIDADES!$B:$B,0)+MATCH(tbAREAS[[#This Row],[LOCALIDADE]],PRODUTIVIDADES!$A:$A,0)-3)*tbAREAS[[#This Row],[ÁREA EM M²]]</f>
        <v>1270.7070000000001</v>
      </c>
      <c r="L1535" s="391"/>
    </row>
    <row r="1536" spans="1:12" hidden="1" x14ac:dyDescent="0.25">
      <c r="A1536" s="228" t="s">
        <v>2</v>
      </c>
      <c r="B1536" s="234" t="s">
        <v>109</v>
      </c>
      <c r="C1536" s="230" t="s">
        <v>536</v>
      </c>
      <c r="D1536" s="230" t="s">
        <v>537</v>
      </c>
      <c r="E1536" s="229" t="s">
        <v>21</v>
      </c>
      <c r="F1536" s="231">
        <v>115.7</v>
      </c>
      <c r="G1536" s="229" t="s">
        <v>1</v>
      </c>
      <c r="H1536" s="405">
        <f ca="1">INDEX(PRODUTIVIDADES!$M:$M,MATCH(tbAREAS[[#This Row],[TIPO DE ÁREA]],PRODUTIVIDADES!$B:$B,0)+MATCH(tbAREAS[[#This Row],[LOCALIDADE]],PRODUTIVIDADES!$A:$A,0)-3)*tbAREAS[[#This Row],[ÁREA EM M²]]</f>
        <v>19.669</v>
      </c>
      <c r="L1536" s="391"/>
    </row>
    <row r="1537" spans="1:12" hidden="1" x14ac:dyDescent="0.25">
      <c r="A1537" s="228" t="s">
        <v>2</v>
      </c>
      <c r="B1537" s="234" t="s">
        <v>109</v>
      </c>
      <c r="C1537" s="230" t="s">
        <v>536</v>
      </c>
      <c r="D1537" s="230" t="s">
        <v>537</v>
      </c>
      <c r="E1537" s="229" t="s">
        <v>22</v>
      </c>
      <c r="F1537" s="231">
        <v>115.7</v>
      </c>
      <c r="G1537" s="229" t="s">
        <v>1</v>
      </c>
      <c r="H1537" s="405">
        <f ca="1">INDEX(PRODUTIVIDADES!$M:$M,MATCH(tbAREAS[[#This Row],[TIPO DE ÁREA]],PRODUTIVIDADES!$B:$B,0)+MATCH(tbAREAS[[#This Row],[LOCALIDADE]],PRODUTIVIDADES!$A:$A,0)-3)*tbAREAS[[#This Row],[ÁREA EM M²]]</f>
        <v>46.28</v>
      </c>
      <c r="L1537" s="391"/>
    </row>
    <row r="1538" spans="1:12" hidden="1" x14ac:dyDescent="0.25">
      <c r="A1538" s="228" t="s">
        <v>2</v>
      </c>
      <c r="B1538" s="234" t="s">
        <v>106</v>
      </c>
      <c r="C1538" s="230" t="s">
        <v>107</v>
      </c>
      <c r="D1538" s="230" t="s">
        <v>108</v>
      </c>
      <c r="E1538" s="229" t="s">
        <v>10</v>
      </c>
      <c r="F1538" s="231">
        <v>487.26</v>
      </c>
      <c r="G1538" s="229" t="s">
        <v>1</v>
      </c>
      <c r="H1538" s="405">
        <f ca="1">INDEX(PRODUTIVIDADES!$M:$M,MATCH(tbAREAS[[#This Row],[TIPO DE ÁREA]],PRODUTIVIDADES!$B:$B,0)+MATCH(tbAREAS[[#This Row],[LOCALIDADE]],PRODUTIVIDADES!$A:$A,0)-3)*tbAREAS[[#This Row],[ÁREA EM M²]]</f>
        <v>1520.2511999999999</v>
      </c>
      <c r="L1538" s="391"/>
    </row>
    <row r="1539" spans="1:12" hidden="1" x14ac:dyDescent="0.25">
      <c r="A1539" s="228" t="s">
        <v>2</v>
      </c>
      <c r="B1539" s="234" t="s">
        <v>106</v>
      </c>
      <c r="C1539" s="230" t="s">
        <v>107</v>
      </c>
      <c r="D1539" s="230" t="s">
        <v>108</v>
      </c>
      <c r="E1539" s="229" t="s">
        <v>17</v>
      </c>
      <c r="F1539" s="231">
        <v>180.63</v>
      </c>
      <c r="G1539" s="229" t="s">
        <v>1</v>
      </c>
      <c r="H1539" s="405">
        <f ca="1">INDEX(PRODUTIVIDADES!$M:$M,MATCH(tbAREAS[[#This Row],[TIPO DE ÁREA]],PRODUTIVIDADES!$B:$B,0)+MATCH(tbAREAS[[#This Row],[LOCALIDADE]],PRODUTIVIDADES!$A:$A,0)-3)*tbAREAS[[#This Row],[ÁREA EM M²]]</f>
        <v>422.67419999999998</v>
      </c>
      <c r="L1539" s="391"/>
    </row>
    <row r="1540" spans="1:12" hidden="1" x14ac:dyDescent="0.25">
      <c r="A1540" s="228" t="s">
        <v>2</v>
      </c>
      <c r="B1540" s="234" t="s">
        <v>106</v>
      </c>
      <c r="C1540" s="230" t="s">
        <v>107</v>
      </c>
      <c r="D1540" s="230" t="s">
        <v>108</v>
      </c>
      <c r="E1540" s="229" t="s">
        <v>18</v>
      </c>
      <c r="F1540" s="231">
        <v>40.299999999999997</v>
      </c>
      <c r="G1540" s="229" t="s">
        <v>1</v>
      </c>
      <c r="H1540" s="405">
        <f ca="1">INDEX(PRODUTIVIDADES!$M:$M,MATCH(tbAREAS[[#This Row],[TIPO DE ÁREA]],PRODUTIVIDADES!$B:$B,0)+MATCH(tbAREAS[[#This Row],[LOCALIDADE]],PRODUTIVIDADES!$A:$A,0)-3)*tbAREAS[[#This Row],[ÁREA EM M²]]</f>
        <v>1827.605</v>
      </c>
      <c r="L1540" s="391"/>
    </row>
    <row r="1541" spans="1:12" hidden="1" x14ac:dyDescent="0.25">
      <c r="A1541" s="228" t="s">
        <v>2</v>
      </c>
      <c r="B1541" s="234" t="s">
        <v>106</v>
      </c>
      <c r="C1541" s="230" t="s">
        <v>107</v>
      </c>
      <c r="D1541" s="230" t="s">
        <v>108</v>
      </c>
      <c r="E1541" s="229" t="s">
        <v>21</v>
      </c>
      <c r="F1541" s="231">
        <v>145.76</v>
      </c>
      <c r="G1541" s="229" t="s">
        <v>1</v>
      </c>
      <c r="H1541" s="405">
        <f ca="1">INDEX(PRODUTIVIDADES!$M:$M,MATCH(tbAREAS[[#This Row],[TIPO DE ÁREA]],PRODUTIVIDADES!$B:$B,0)+MATCH(tbAREAS[[#This Row],[LOCALIDADE]],PRODUTIVIDADES!$A:$A,0)-3)*tbAREAS[[#This Row],[ÁREA EM M²]]</f>
        <v>24.779199999999999</v>
      </c>
      <c r="L1541" s="391"/>
    </row>
    <row r="1542" spans="1:12" hidden="1" x14ac:dyDescent="0.25">
      <c r="A1542" s="228" t="s">
        <v>2</v>
      </c>
      <c r="B1542" s="234" t="s">
        <v>106</v>
      </c>
      <c r="C1542" s="230" t="s">
        <v>107</v>
      </c>
      <c r="D1542" s="230" t="s">
        <v>108</v>
      </c>
      <c r="E1542" s="229" t="s">
        <v>22</v>
      </c>
      <c r="F1542" s="231">
        <v>145.76</v>
      </c>
      <c r="G1542" s="229" t="s">
        <v>1</v>
      </c>
      <c r="H1542" s="405">
        <f ca="1">INDEX(PRODUTIVIDADES!$M:$M,MATCH(tbAREAS[[#This Row],[TIPO DE ÁREA]],PRODUTIVIDADES!$B:$B,0)+MATCH(tbAREAS[[#This Row],[LOCALIDADE]],PRODUTIVIDADES!$A:$A,0)-3)*tbAREAS[[#This Row],[ÁREA EM M²]]</f>
        <v>58.304000000000002</v>
      </c>
      <c r="L1542" s="391"/>
    </row>
    <row r="1543" spans="1:12" hidden="1" x14ac:dyDescent="0.25">
      <c r="A1543" s="228" t="s">
        <v>2</v>
      </c>
      <c r="B1543" s="234" t="s">
        <v>99</v>
      </c>
      <c r="C1543" s="230" t="s">
        <v>538</v>
      </c>
      <c r="D1543" s="230" t="s">
        <v>539</v>
      </c>
      <c r="E1543" s="229" t="s">
        <v>10</v>
      </c>
      <c r="F1543" s="231">
        <f>75.2+23.07+24.32+24.27+21.27+21.27</f>
        <v>189.40000000000003</v>
      </c>
      <c r="G1543" s="229" t="s">
        <v>1</v>
      </c>
      <c r="H1543" s="405">
        <f ca="1">INDEX(PRODUTIVIDADES!$M:$M,MATCH(tbAREAS[[#This Row],[TIPO DE ÁREA]],PRODUTIVIDADES!$B:$B,0)+MATCH(tbAREAS[[#This Row],[LOCALIDADE]],PRODUTIVIDADES!$A:$A,0)-3)*tbAREAS[[#This Row],[ÁREA EM M²]]</f>
        <v>590.92800000000011</v>
      </c>
      <c r="L1543" s="391"/>
    </row>
    <row r="1544" spans="1:12" hidden="1" x14ac:dyDescent="0.25">
      <c r="A1544" s="228" t="s">
        <v>2</v>
      </c>
      <c r="B1544" s="234" t="s">
        <v>99</v>
      </c>
      <c r="C1544" s="230" t="s">
        <v>538</v>
      </c>
      <c r="D1544" s="230" t="s">
        <v>539</v>
      </c>
      <c r="E1544" s="229" t="s">
        <v>15</v>
      </c>
      <c r="F1544" s="231">
        <v>21.27</v>
      </c>
      <c r="G1544" s="229" t="s">
        <v>1</v>
      </c>
      <c r="H1544" s="405">
        <f ca="1">INDEX(PRODUTIVIDADES!$M:$M,MATCH(tbAREAS[[#This Row],[TIPO DE ÁREA]],PRODUTIVIDADES!$B:$B,0)+MATCH(tbAREAS[[#This Row],[LOCALIDADE]],PRODUTIVIDADES!$A:$A,0)-3)*tbAREAS[[#This Row],[ÁREA EM M²]]</f>
        <v>14.676299999999999</v>
      </c>
      <c r="L1544" s="391"/>
    </row>
    <row r="1545" spans="1:12" hidden="1" x14ac:dyDescent="0.25">
      <c r="A1545" s="228" t="s">
        <v>2</v>
      </c>
      <c r="B1545" s="234" t="s">
        <v>99</v>
      </c>
      <c r="C1545" s="230" t="s">
        <v>538</v>
      </c>
      <c r="D1545" s="230" t="s">
        <v>539</v>
      </c>
      <c r="E1545" s="229" t="s">
        <v>18</v>
      </c>
      <c r="F1545" s="231">
        <f>2.3+2.3+2.3+2.3+2.3+2.3+2.3</f>
        <v>16.100000000000001</v>
      </c>
      <c r="G1545" s="229" t="s">
        <v>1</v>
      </c>
      <c r="H1545" s="405">
        <f ca="1">INDEX(PRODUTIVIDADES!$M:$M,MATCH(tbAREAS[[#This Row],[TIPO DE ÁREA]],PRODUTIVIDADES!$B:$B,0)+MATCH(tbAREAS[[#This Row],[LOCALIDADE]],PRODUTIVIDADES!$A:$A,0)-3)*tbAREAS[[#This Row],[ÁREA EM M²]]</f>
        <v>730.1350000000001</v>
      </c>
      <c r="L1545" s="391"/>
    </row>
    <row r="1546" spans="1:12" hidden="1" x14ac:dyDescent="0.25">
      <c r="A1546" s="228" t="s">
        <v>2</v>
      </c>
      <c r="B1546" s="234" t="s">
        <v>99</v>
      </c>
      <c r="C1546" s="230" t="s">
        <v>538</v>
      </c>
      <c r="D1546" s="230" t="s">
        <v>539</v>
      </c>
      <c r="E1546" s="229" t="s">
        <v>21</v>
      </c>
      <c r="F1546" s="231">
        <f>(4.6+3.6+3.6+3.6+3.6+3.6+3.6)*2.7</f>
        <v>70.740000000000009</v>
      </c>
      <c r="G1546" s="229" t="s">
        <v>1</v>
      </c>
      <c r="H1546" s="405">
        <f ca="1">INDEX(PRODUTIVIDADES!$M:$M,MATCH(tbAREAS[[#This Row],[TIPO DE ÁREA]],PRODUTIVIDADES!$B:$B,0)+MATCH(tbAREAS[[#This Row],[LOCALIDADE]],PRODUTIVIDADES!$A:$A,0)-3)*tbAREAS[[#This Row],[ÁREA EM M²]]</f>
        <v>12.025800000000002</v>
      </c>
      <c r="L1546" s="391"/>
    </row>
    <row r="1547" spans="1:12" hidden="1" x14ac:dyDescent="0.25">
      <c r="A1547" s="228" t="s">
        <v>2</v>
      </c>
      <c r="B1547" s="234" t="s">
        <v>99</v>
      </c>
      <c r="C1547" s="230" t="s">
        <v>538</v>
      </c>
      <c r="D1547" s="230" t="s">
        <v>539</v>
      </c>
      <c r="E1547" s="229" t="s">
        <v>22</v>
      </c>
      <c r="F1547" s="231">
        <f>(4.6+3.6+3.6+3.6+3.6+3.6+3.6)*2.7</f>
        <v>70.740000000000009</v>
      </c>
      <c r="G1547" s="229" t="s">
        <v>1</v>
      </c>
      <c r="H1547" s="405">
        <f ca="1">INDEX(PRODUTIVIDADES!$M:$M,MATCH(tbAREAS[[#This Row],[TIPO DE ÁREA]],PRODUTIVIDADES!$B:$B,0)+MATCH(tbAREAS[[#This Row],[LOCALIDADE]],PRODUTIVIDADES!$A:$A,0)-3)*tbAREAS[[#This Row],[ÁREA EM M²]]</f>
        <v>28.296000000000006</v>
      </c>
      <c r="L1547" s="391"/>
    </row>
    <row r="1548" spans="1:12" hidden="1" x14ac:dyDescent="0.25">
      <c r="A1548" s="228" t="s">
        <v>2</v>
      </c>
      <c r="B1548" s="234" t="s">
        <v>93</v>
      </c>
      <c r="C1548" s="230" t="s">
        <v>94</v>
      </c>
      <c r="D1548" s="230" t="s">
        <v>540</v>
      </c>
      <c r="E1548" s="229" t="s">
        <v>10</v>
      </c>
      <c r="F1548" s="231">
        <v>25.09</v>
      </c>
      <c r="G1548" s="229" t="s">
        <v>1</v>
      </c>
      <c r="H1548" s="405">
        <f ca="1">INDEX(PRODUTIVIDADES!$M:$M,MATCH(tbAREAS[[#This Row],[TIPO DE ÁREA]],PRODUTIVIDADES!$B:$B,0)+MATCH(tbAREAS[[#This Row],[LOCALIDADE]],PRODUTIVIDADES!$A:$A,0)-3)*tbAREAS[[#This Row],[ÁREA EM M²]]</f>
        <v>78.280799999999999</v>
      </c>
      <c r="L1548" s="391"/>
    </row>
    <row r="1549" spans="1:12" hidden="1" x14ac:dyDescent="0.25">
      <c r="A1549" s="228" t="s">
        <v>2</v>
      </c>
      <c r="B1549" s="234" t="s">
        <v>93</v>
      </c>
      <c r="C1549" s="230" t="s">
        <v>94</v>
      </c>
      <c r="D1549" s="230" t="s">
        <v>540</v>
      </c>
      <c r="E1549" s="229" t="s">
        <v>17</v>
      </c>
      <c r="F1549" s="231">
        <v>253.43</v>
      </c>
      <c r="G1549" s="229" t="s">
        <v>1</v>
      </c>
      <c r="H1549" s="405">
        <f ca="1">INDEX(PRODUTIVIDADES!$M:$M,MATCH(tbAREAS[[#This Row],[TIPO DE ÁREA]],PRODUTIVIDADES!$B:$B,0)+MATCH(tbAREAS[[#This Row],[LOCALIDADE]],PRODUTIVIDADES!$A:$A,0)-3)*tbAREAS[[#This Row],[ÁREA EM M²]]</f>
        <v>593.02620000000002</v>
      </c>
      <c r="L1549" s="391"/>
    </row>
    <row r="1550" spans="1:12" hidden="1" x14ac:dyDescent="0.25">
      <c r="A1550" s="228" t="s">
        <v>2</v>
      </c>
      <c r="B1550" s="234" t="s">
        <v>93</v>
      </c>
      <c r="C1550" s="230" t="s">
        <v>94</v>
      </c>
      <c r="D1550" s="230" t="s">
        <v>540</v>
      </c>
      <c r="E1550" s="229" t="s">
        <v>18</v>
      </c>
      <c r="F1550" s="231">
        <v>25.55</v>
      </c>
      <c r="G1550" s="229" t="s">
        <v>1</v>
      </c>
      <c r="H1550" s="405">
        <f ca="1">INDEX(PRODUTIVIDADES!$M:$M,MATCH(tbAREAS[[#This Row],[TIPO DE ÁREA]],PRODUTIVIDADES!$B:$B,0)+MATCH(tbAREAS[[#This Row],[LOCALIDADE]],PRODUTIVIDADES!$A:$A,0)-3)*tbAREAS[[#This Row],[ÁREA EM M²]]</f>
        <v>1158.6925000000001</v>
      </c>
      <c r="L1550" s="391"/>
    </row>
    <row r="1551" spans="1:12" hidden="1" x14ac:dyDescent="0.25">
      <c r="A1551" s="228" t="s">
        <v>2</v>
      </c>
      <c r="B1551" s="234" t="s">
        <v>93</v>
      </c>
      <c r="C1551" s="230" t="s">
        <v>94</v>
      </c>
      <c r="D1551" s="230" t="s">
        <v>540</v>
      </c>
      <c r="E1551" s="229" t="s">
        <v>21</v>
      </c>
      <c r="F1551" s="231">
        <v>167.7</v>
      </c>
      <c r="G1551" s="229" t="s">
        <v>1</v>
      </c>
      <c r="H1551" s="405">
        <f ca="1">INDEX(PRODUTIVIDADES!$M:$M,MATCH(tbAREAS[[#This Row],[TIPO DE ÁREA]],PRODUTIVIDADES!$B:$B,0)+MATCH(tbAREAS[[#This Row],[LOCALIDADE]],PRODUTIVIDADES!$A:$A,0)-3)*tbAREAS[[#This Row],[ÁREA EM M²]]</f>
        <v>28.509</v>
      </c>
      <c r="L1551" s="391"/>
    </row>
    <row r="1552" spans="1:12" hidden="1" x14ac:dyDescent="0.25">
      <c r="A1552" s="228" t="s">
        <v>2</v>
      </c>
      <c r="B1552" s="234" t="s">
        <v>93</v>
      </c>
      <c r="C1552" s="230" t="s">
        <v>94</v>
      </c>
      <c r="D1552" s="230" t="s">
        <v>540</v>
      </c>
      <c r="E1552" s="229" t="s">
        <v>22</v>
      </c>
      <c r="F1552" s="231">
        <v>167.7</v>
      </c>
      <c r="G1552" s="229" t="s">
        <v>1</v>
      </c>
      <c r="H1552" s="405">
        <f ca="1">INDEX(PRODUTIVIDADES!$M:$M,MATCH(tbAREAS[[#This Row],[TIPO DE ÁREA]],PRODUTIVIDADES!$B:$B,0)+MATCH(tbAREAS[[#This Row],[LOCALIDADE]],PRODUTIVIDADES!$A:$A,0)-3)*tbAREAS[[#This Row],[ÁREA EM M²]]</f>
        <v>67.08</v>
      </c>
      <c r="L1552" s="391"/>
    </row>
    <row r="1553" spans="1:12" hidden="1" x14ac:dyDescent="0.25">
      <c r="A1553" s="228" t="s">
        <v>2</v>
      </c>
      <c r="B1553" s="234" t="s">
        <v>99</v>
      </c>
      <c r="C1553" s="230" t="s">
        <v>541</v>
      </c>
      <c r="D1553" s="230" t="s">
        <v>542</v>
      </c>
      <c r="E1553" s="229" t="s">
        <v>15</v>
      </c>
      <c r="F1553" s="231">
        <v>383</v>
      </c>
      <c r="G1553" s="229" t="s">
        <v>1</v>
      </c>
      <c r="H1553" s="405">
        <f ca="1">INDEX(PRODUTIVIDADES!$M:$M,MATCH(tbAREAS[[#This Row],[TIPO DE ÁREA]],PRODUTIVIDADES!$B:$B,0)+MATCH(tbAREAS[[#This Row],[LOCALIDADE]],PRODUTIVIDADES!$A:$A,0)-3)*tbAREAS[[#This Row],[ÁREA EM M²]]</f>
        <v>264.27</v>
      </c>
      <c r="L1553" s="391"/>
    </row>
    <row r="1554" spans="1:12" hidden="1" x14ac:dyDescent="0.25">
      <c r="A1554" s="228" t="s">
        <v>2</v>
      </c>
      <c r="B1554" s="234" t="s">
        <v>99</v>
      </c>
      <c r="C1554" s="230" t="s">
        <v>541</v>
      </c>
      <c r="D1554" s="230" t="s">
        <v>542</v>
      </c>
      <c r="E1554" s="229" t="s">
        <v>18</v>
      </c>
      <c r="F1554" s="231">
        <v>19.04</v>
      </c>
      <c r="G1554" s="229" t="s">
        <v>1</v>
      </c>
      <c r="H1554" s="405">
        <f ca="1">INDEX(PRODUTIVIDADES!$M:$M,MATCH(tbAREAS[[#This Row],[TIPO DE ÁREA]],PRODUTIVIDADES!$B:$B,0)+MATCH(tbAREAS[[#This Row],[LOCALIDADE]],PRODUTIVIDADES!$A:$A,0)-3)*tbAREAS[[#This Row],[ÁREA EM M²]]</f>
        <v>863.46399999999994</v>
      </c>
      <c r="L1554" s="391"/>
    </row>
    <row r="1555" spans="1:12" hidden="1" x14ac:dyDescent="0.25">
      <c r="A1555" s="228" t="s">
        <v>2</v>
      </c>
      <c r="B1555" s="234" t="s">
        <v>99</v>
      </c>
      <c r="C1555" s="230" t="s">
        <v>541</v>
      </c>
      <c r="D1555" s="230" t="s">
        <v>542</v>
      </c>
      <c r="E1555" s="229" t="s">
        <v>21</v>
      </c>
      <c r="F1555" s="231">
        <v>16.2</v>
      </c>
      <c r="G1555" s="229" t="s">
        <v>1</v>
      </c>
      <c r="H1555" s="405">
        <f ca="1">INDEX(PRODUTIVIDADES!$M:$M,MATCH(tbAREAS[[#This Row],[TIPO DE ÁREA]],PRODUTIVIDADES!$B:$B,0)+MATCH(tbAREAS[[#This Row],[LOCALIDADE]],PRODUTIVIDADES!$A:$A,0)-3)*tbAREAS[[#This Row],[ÁREA EM M²]]</f>
        <v>2.754</v>
      </c>
      <c r="L1555" s="391"/>
    </row>
    <row r="1556" spans="1:12" hidden="1" x14ac:dyDescent="0.25">
      <c r="A1556" s="228" t="s">
        <v>2</v>
      </c>
      <c r="B1556" s="234" t="s">
        <v>99</v>
      </c>
      <c r="C1556" s="230" t="s">
        <v>541</v>
      </c>
      <c r="D1556" s="230" t="s">
        <v>542</v>
      </c>
      <c r="E1556" s="229" t="s">
        <v>22</v>
      </c>
      <c r="F1556" s="231">
        <v>16.2</v>
      </c>
      <c r="G1556" s="229" t="s">
        <v>1</v>
      </c>
      <c r="H1556" s="405">
        <f ca="1">INDEX(PRODUTIVIDADES!$M:$M,MATCH(tbAREAS[[#This Row],[TIPO DE ÁREA]],PRODUTIVIDADES!$B:$B,0)+MATCH(tbAREAS[[#This Row],[LOCALIDADE]],PRODUTIVIDADES!$A:$A,0)-3)*tbAREAS[[#This Row],[ÁREA EM M²]]</f>
        <v>6.48</v>
      </c>
      <c r="L1556" s="391"/>
    </row>
    <row r="1557" spans="1:12" hidden="1" x14ac:dyDescent="0.25">
      <c r="A1557" s="228" t="s">
        <v>2</v>
      </c>
      <c r="B1557" s="234" t="s">
        <v>99</v>
      </c>
      <c r="C1557" s="230" t="s">
        <v>104</v>
      </c>
      <c r="D1557" s="230" t="s">
        <v>543</v>
      </c>
      <c r="E1557" s="229" t="s">
        <v>21</v>
      </c>
      <c r="F1557" s="231">
        <v>127.6</v>
      </c>
      <c r="G1557" s="229" t="s">
        <v>1</v>
      </c>
      <c r="H1557" s="405">
        <f ca="1">INDEX(PRODUTIVIDADES!$M:$M,MATCH(tbAREAS[[#This Row],[TIPO DE ÁREA]],PRODUTIVIDADES!$B:$B,0)+MATCH(tbAREAS[[#This Row],[LOCALIDADE]],PRODUTIVIDADES!$A:$A,0)-3)*tbAREAS[[#This Row],[ÁREA EM M²]]</f>
        <v>21.692</v>
      </c>
      <c r="L1557" s="391"/>
    </row>
    <row r="1558" spans="1:12" hidden="1" x14ac:dyDescent="0.25">
      <c r="A1558" s="228" t="s">
        <v>2</v>
      </c>
      <c r="B1558" s="234" t="s">
        <v>99</v>
      </c>
      <c r="C1558" s="230" t="s">
        <v>104</v>
      </c>
      <c r="D1558" s="230" t="s">
        <v>543</v>
      </c>
      <c r="E1558" s="229" t="s">
        <v>22</v>
      </c>
      <c r="F1558" s="231">
        <v>127.6</v>
      </c>
      <c r="G1558" s="229" t="s">
        <v>1</v>
      </c>
      <c r="H1558" s="405">
        <f ca="1">INDEX(PRODUTIVIDADES!$M:$M,MATCH(tbAREAS[[#This Row],[TIPO DE ÁREA]],PRODUTIVIDADES!$B:$B,0)+MATCH(tbAREAS[[#This Row],[LOCALIDADE]],PRODUTIVIDADES!$A:$A,0)-3)*tbAREAS[[#This Row],[ÁREA EM M²]]</f>
        <v>51.04</v>
      </c>
      <c r="L1558" s="391"/>
    </row>
    <row r="1559" spans="1:12" hidden="1" x14ac:dyDescent="0.25">
      <c r="A1559" s="228" t="s">
        <v>2</v>
      </c>
      <c r="B1559" s="234" t="s">
        <v>96</v>
      </c>
      <c r="C1559" s="230" t="s">
        <v>544</v>
      </c>
      <c r="D1559" s="230" t="s">
        <v>545</v>
      </c>
      <c r="E1559" s="229" t="s">
        <v>17</v>
      </c>
      <c r="F1559" s="231">
        <v>918.3</v>
      </c>
      <c r="G1559" s="229" t="s">
        <v>1</v>
      </c>
      <c r="H1559" s="405">
        <f ca="1">INDEX(PRODUTIVIDADES!$M:$M,MATCH(tbAREAS[[#This Row],[TIPO DE ÁREA]],PRODUTIVIDADES!$B:$B,0)+MATCH(tbAREAS[[#This Row],[LOCALIDADE]],PRODUTIVIDADES!$A:$A,0)-3)*tbAREAS[[#This Row],[ÁREA EM M²]]</f>
        <v>2148.8219999999997</v>
      </c>
      <c r="L1559" s="391"/>
    </row>
    <row r="1560" spans="1:12" hidden="1" x14ac:dyDescent="0.25">
      <c r="A1560" s="228" t="s">
        <v>2</v>
      </c>
      <c r="B1560" s="234" t="s">
        <v>96</v>
      </c>
      <c r="C1560" s="230" t="s">
        <v>544</v>
      </c>
      <c r="D1560" s="230" t="s">
        <v>545</v>
      </c>
      <c r="E1560" s="229" t="s">
        <v>18</v>
      </c>
      <c r="F1560" s="231">
        <v>257.08</v>
      </c>
      <c r="G1560" s="229" t="s">
        <v>1</v>
      </c>
      <c r="H1560" s="405">
        <f ca="1">INDEX(PRODUTIVIDADES!$M:$M,MATCH(tbAREAS[[#This Row],[TIPO DE ÁREA]],PRODUTIVIDADES!$B:$B,0)+MATCH(tbAREAS[[#This Row],[LOCALIDADE]],PRODUTIVIDADES!$A:$A,0)-3)*tbAREAS[[#This Row],[ÁREA EM M²]]</f>
        <v>11658.578</v>
      </c>
      <c r="L1560" s="391"/>
    </row>
    <row r="1561" spans="1:12" hidden="1" x14ac:dyDescent="0.25">
      <c r="A1561" s="228" t="s">
        <v>2</v>
      </c>
      <c r="B1561" s="234" t="s">
        <v>96</v>
      </c>
      <c r="C1561" s="230" t="s">
        <v>544</v>
      </c>
      <c r="D1561" s="230" t="s">
        <v>545</v>
      </c>
      <c r="E1561" s="229" t="s">
        <v>21</v>
      </c>
      <c r="F1561" s="231">
        <v>553.9</v>
      </c>
      <c r="G1561" s="229" t="s">
        <v>1</v>
      </c>
      <c r="H1561" s="405">
        <f ca="1">INDEX(PRODUTIVIDADES!$M:$M,MATCH(tbAREAS[[#This Row],[TIPO DE ÁREA]],PRODUTIVIDADES!$B:$B,0)+MATCH(tbAREAS[[#This Row],[LOCALIDADE]],PRODUTIVIDADES!$A:$A,0)-3)*tbAREAS[[#This Row],[ÁREA EM M²]]</f>
        <v>94.162999999999997</v>
      </c>
      <c r="L1561" s="391"/>
    </row>
    <row r="1562" spans="1:12" hidden="1" x14ac:dyDescent="0.25">
      <c r="A1562" s="228" t="s">
        <v>2</v>
      </c>
      <c r="B1562" s="234" t="s">
        <v>96</v>
      </c>
      <c r="C1562" s="230" t="s">
        <v>544</v>
      </c>
      <c r="D1562" s="230" t="s">
        <v>545</v>
      </c>
      <c r="E1562" s="229" t="s">
        <v>22</v>
      </c>
      <c r="F1562" s="231">
        <v>553.9</v>
      </c>
      <c r="G1562" s="229" t="s">
        <v>1</v>
      </c>
      <c r="H1562" s="405">
        <f ca="1">INDEX(PRODUTIVIDADES!$M:$M,MATCH(tbAREAS[[#This Row],[TIPO DE ÁREA]],PRODUTIVIDADES!$B:$B,0)+MATCH(tbAREAS[[#This Row],[LOCALIDADE]],PRODUTIVIDADES!$A:$A,0)-3)*tbAREAS[[#This Row],[ÁREA EM M²]]</f>
        <v>221.56</v>
      </c>
      <c r="L1562" s="391"/>
    </row>
    <row r="1563" spans="1:12" hidden="1" x14ac:dyDescent="0.25">
      <c r="A1563" s="228" t="s">
        <v>2</v>
      </c>
      <c r="B1563" s="234" t="s">
        <v>109</v>
      </c>
      <c r="C1563" s="230" t="s">
        <v>100</v>
      </c>
      <c r="D1563" s="230" t="s">
        <v>546</v>
      </c>
      <c r="E1563" s="229" t="s">
        <v>21</v>
      </c>
      <c r="F1563" s="231">
        <v>1147.8499999999999</v>
      </c>
      <c r="G1563" s="229" t="s">
        <v>1</v>
      </c>
      <c r="H1563" s="405">
        <f ca="1">INDEX(PRODUTIVIDADES!$M:$M,MATCH(tbAREAS[[#This Row],[TIPO DE ÁREA]],PRODUTIVIDADES!$B:$B,0)+MATCH(tbAREAS[[#This Row],[LOCALIDADE]],PRODUTIVIDADES!$A:$A,0)-3)*tbAREAS[[#This Row],[ÁREA EM M²]]</f>
        <v>195.1345</v>
      </c>
      <c r="L1563" s="391"/>
    </row>
    <row r="1564" spans="1:12" hidden="1" x14ac:dyDescent="0.25">
      <c r="A1564" s="228" t="s">
        <v>2</v>
      </c>
      <c r="B1564" s="234" t="s">
        <v>109</v>
      </c>
      <c r="C1564" s="230" t="s">
        <v>100</v>
      </c>
      <c r="D1564" s="230" t="s">
        <v>546</v>
      </c>
      <c r="E1564" s="229" t="s">
        <v>22</v>
      </c>
      <c r="F1564" s="231">
        <v>1147.8499999999999</v>
      </c>
      <c r="G1564" s="229" t="s">
        <v>1</v>
      </c>
      <c r="H1564" s="405">
        <f ca="1">INDEX(PRODUTIVIDADES!$M:$M,MATCH(tbAREAS[[#This Row],[TIPO DE ÁREA]],PRODUTIVIDADES!$B:$B,0)+MATCH(tbAREAS[[#This Row],[LOCALIDADE]],PRODUTIVIDADES!$A:$A,0)-3)*tbAREAS[[#This Row],[ÁREA EM M²]]</f>
        <v>459.14</v>
      </c>
      <c r="L1564" s="391"/>
    </row>
    <row r="1565" spans="1:12" hidden="1" x14ac:dyDescent="0.25">
      <c r="A1565" s="228" t="s">
        <v>2</v>
      </c>
      <c r="B1565" s="234" t="s">
        <v>111</v>
      </c>
      <c r="C1565" s="230" t="s">
        <v>513</v>
      </c>
      <c r="D1565" s="230" t="s">
        <v>514</v>
      </c>
      <c r="E1565" s="229" t="s">
        <v>10</v>
      </c>
      <c r="F1565" s="231">
        <f>24.24+14.35</f>
        <v>38.589999999999996</v>
      </c>
      <c r="G1565" s="229" t="s">
        <v>1</v>
      </c>
      <c r="H1565" s="405">
        <f ca="1">INDEX(PRODUTIVIDADES!$M:$M,MATCH(tbAREAS[[#This Row],[TIPO DE ÁREA]],PRODUTIVIDADES!$B:$B,0)+MATCH(tbAREAS[[#This Row],[LOCALIDADE]],PRODUTIVIDADES!$A:$A,0)-3)*tbAREAS[[#This Row],[ÁREA EM M²]]</f>
        <v>120.40079999999999</v>
      </c>
      <c r="L1565" s="391"/>
    </row>
    <row r="1566" spans="1:12" hidden="1" x14ac:dyDescent="0.25">
      <c r="A1566" s="228" t="s">
        <v>2</v>
      </c>
      <c r="B1566" s="234" t="s">
        <v>111</v>
      </c>
      <c r="C1566" s="230" t="s">
        <v>513</v>
      </c>
      <c r="D1566" s="230" t="s">
        <v>514</v>
      </c>
      <c r="E1566" s="229" t="s">
        <v>15</v>
      </c>
      <c r="F1566" s="231">
        <v>26.7</v>
      </c>
      <c r="G1566" s="229" t="s">
        <v>1</v>
      </c>
      <c r="H1566" s="405">
        <f ca="1">INDEX(PRODUTIVIDADES!$M:$M,MATCH(tbAREAS[[#This Row],[TIPO DE ÁREA]],PRODUTIVIDADES!$B:$B,0)+MATCH(tbAREAS[[#This Row],[LOCALIDADE]],PRODUTIVIDADES!$A:$A,0)-3)*tbAREAS[[#This Row],[ÁREA EM M²]]</f>
        <v>18.422999999999998</v>
      </c>
      <c r="L1566" s="391"/>
    </row>
    <row r="1567" spans="1:12" hidden="1" x14ac:dyDescent="0.25">
      <c r="A1567" s="228" t="s">
        <v>2</v>
      </c>
      <c r="B1567" s="234" t="s">
        <v>111</v>
      </c>
      <c r="C1567" s="230" t="s">
        <v>513</v>
      </c>
      <c r="D1567" s="230" t="s">
        <v>514</v>
      </c>
      <c r="E1567" s="229" t="s">
        <v>18</v>
      </c>
      <c r="F1567" s="231">
        <v>3</v>
      </c>
      <c r="G1567" s="229" t="s">
        <v>1</v>
      </c>
      <c r="H1567" s="405">
        <f ca="1">INDEX(PRODUTIVIDADES!$M:$M,MATCH(tbAREAS[[#This Row],[TIPO DE ÁREA]],PRODUTIVIDADES!$B:$B,0)+MATCH(tbAREAS[[#This Row],[LOCALIDADE]],PRODUTIVIDADES!$A:$A,0)-3)*tbAREAS[[#This Row],[ÁREA EM M²]]</f>
        <v>136.05000000000001</v>
      </c>
      <c r="L1567" s="391"/>
    </row>
    <row r="1568" spans="1:12" hidden="1" x14ac:dyDescent="0.25">
      <c r="A1568" s="228" t="s">
        <v>2</v>
      </c>
      <c r="B1568" s="234" t="s">
        <v>111</v>
      </c>
      <c r="C1568" s="230" t="s">
        <v>513</v>
      </c>
      <c r="D1568" s="230" t="s">
        <v>514</v>
      </c>
      <c r="E1568" s="229" t="s">
        <v>21</v>
      </c>
      <c r="F1568" s="231">
        <f>(2*1.15)*5</f>
        <v>11.5</v>
      </c>
      <c r="G1568" s="229" t="s">
        <v>1</v>
      </c>
      <c r="H1568" s="405">
        <f ca="1">INDEX(PRODUTIVIDADES!$M:$M,MATCH(tbAREAS[[#This Row],[TIPO DE ÁREA]],PRODUTIVIDADES!$B:$B,0)+MATCH(tbAREAS[[#This Row],[LOCALIDADE]],PRODUTIVIDADES!$A:$A,0)-3)*tbAREAS[[#This Row],[ÁREA EM M²]]</f>
        <v>1.9550000000000001</v>
      </c>
      <c r="L1568" s="391"/>
    </row>
    <row r="1569" spans="1:12" hidden="1" x14ac:dyDescent="0.25">
      <c r="A1569" s="228" t="s">
        <v>2</v>
      </c>
      <c r="B1569" s="234" t="s">
        <v>111</v>
      </c>
      <c r="C1569" s="230" t="s">
        <v>513</v>
      </c>
      <c r="D1569" s="230" t="s">
        <v>514</v>
      </c>
      <c r="E1569" s="229" t="s">
        <v>22</v>
      </c>
      <c r="F1569" s="231">
        <f>(2*1.15)*5</f>
        <v>11.5</v>
      </c>
      <c r="G1569" s="229" t="s">
        <v>1</v>
      </c>
      <c r="H1569" s="405">
        <f ca="1">INDEX(PRODUTIVIDADES!$M:$M,MATCH(tbAREAS[[#This Row],[TIPO DE ÁREA]],PRODUTIVIDADES!$B:$B,0)+MATCH(tbAREAS[[#This Row],[LOCALIDADE]],PRODUTIVIDADES!$A:$A,0)-3)*tbAREAS[[#This Row],[ÁREA EM M²]]</f>
        <v>4.6000000000000005</v>
      </c>
      <c r="L1569" s="391"/>
    </row>
    <row r="1570" spans="1:12" hidden="1" x14ac:dyDescent="0.25">
      <c r="A1570" s="228" t="s">
        <v>2</v>
      </c>
      <c r="B1570" s="234" t="s">
        <v>96</v>
      </c>
      <c r="C1570" s="230" t="s">
        <v>547</v>
      </c>
      <c r="D1570" s="230" t="s">
        <v>548</v>
      </c>
      <c r="E1570" s="229" t="s">
        <v>21</v>
      </c>
      <c r="F1570" s="231">
        <v>502.07</v>
      </c>
      <c r="G1570" s="229" t="s">
        <v>1</v>
      </c>
      <c r="H1570" s="405">
        <f ca="1">INDEX(PRODUTIVIDADES!$M:$M,MATCH(tbAREAS[[#This Row],[TIPO DE ÁREA]],PRODUTIVIDADES!$B:$B,0)+MATCH(tbAREAS[[#This Row],[LOCALIDADE]],PRODUTIVIDADES!$A:$A,0)-3)*tbAREAS[[#This Row],[ÁREA EM M²]]</f>
        <v>85.351900000000001</v>
      </c>
      <c r="L1570" s="391"/>
    </row>
    <row r="1571" spans="1:12" hidden="1" x14ac:dyDescent="0.25">
      <c r="A1571" s="228" t="s">
        <v>2</v>
      </c>
      <c r="B1571" s="234" t="s">
        <v>96</v>
      </c>
      <c r="C1571" s="230" t="s">
        <v>547</v>
      </c>
      <c r="D1571" s="230" t="s">
        <v>548</v>
      </c>
      <c r="E1571" s="229" t="s">
        <v>22</v>
      </c>
      <c r="F1571" s="231">
        <v>502.07</v>
      </c>
      <c r="G1571" s="229" t="s">
        <v>1</v>
      </c>
      <c r="H1571" s="405">
        <f ca="1">INDEX(PRODUTIVIDADES!$M:$M,MATCH(tbAREAS[[#This Row],[TIPO DE ÁREA]],PRODUTIVIDADES!$B:$B,0)+MATCH(tbAREAS[[#This Row],[LOCALIDADE]],PRODUTIVIDADES!$A:$A,0)-3)*tbAREAS[[#This Row],[ÁREA EM M²]]</f>
        <v>200.828</v>
      </c>
      <c r="L1571" s="391"/>
    </row>
    <row r="1572" spans="1:12" hidden="1" x14ac:dyDescent="0.25">
      <c r="A1572" s="228" t="s">
        <v>2</v>
      </c>
      <c r="B1572" s="234" t="s">
        <v>96</v>
      </c>
      <c r="C1572" s="230" t="s">
        <v>549</v>
      </c>
      <c r="D1572" s="230" t="s">
        <v>550</v>
      </c>
      <c r="E1572" s="229" t="s">
        <v>21</v>
      </c>
      <c r="F1572" s="231">
        <v>155.5</v>
      </c>
      <c r="G1572" s="229" t="s">
        <v>1</v>
      </c>
      <c r="H1572" s="405">
        <f ca="1">INDEX(PRODUTIVIDADES!$M:$M,MATCH(tbAREAS[[#This Row],[TIPO DE ÁREA]],PRODUTIVIDADES!$B:$B,0)+MATCH(tbAREAS[[#This Row],[LOCALIDADE]],PRODUTIVIDADES!$A:$A,0)-3)*tbAREAS[[#This Row],[ÁREA EM M²]]</f>
        <v>26.435000000000002</v>
      </c>
      <c r="L1572" s="391"/>
    </row>
    <row r="1573" spans="1:12" hidden="1" x14ac:dyDescent="0.25">
      <c r="A1573" s="228" t="s">
        <v>2</v>
      </c>
      <c r="B1573" s="234" t="s">
        <v>96</v>
      </c>
      <c r="C1573" s="230" t="s">
        <v>549</v>
      </c>
      <c r="D1573" s="230" t="s">
        <v>550</v>
      </c>
      <c r="E1573" s="229" t="s">
        <v>22</v>
      </c>
      <c r="F1573" s="231">
        <v>155.5</v>
      </c>
      <c r="G1573" s="229" t="s">
        <v>1</v>
      </c>
      <c r="H1573" s="405">
        <f ca="1">INDEX(PRODUTIVIDADES!$M:$M,MATCH(tbAREAS[[#This Row],[TIPO DE ÁREA]],PRODUTIVIDADES!$B:$B,0)+MATCH(tbAREAS[[#This Row],[LOCALIDADE]],PRODUTIVIDADES!$A:$A,0)-3)*tbAREAS[[#This Row],[ÁREA EM M²]]</f>
        <v>62.2</v>
      </c>
      <c r="L1573" s="391"/>
    </row>
    <row r="1574" spans="1:12" hidden="1" x14ac:dyDescent="0.25">
      <c r="A1574" s="228" t="s">
        <v>2</v>
      </c>
      <c r="B1574" s="234" t="s">
        <v>96</v>
      </c>
      <c r="C1574" s="230" t="s">
        <v>551</v>
      </c>
      <c r="D1574" s="230" t="s">
        <v>550</v>
      </c>
      <c r="E1574" s="229" t="s">
        <v>21</v>
      </c>
      <c r="F1574" s="231">
        <v>155.5</v>
      </c>
      <c r="G1574" s="229" t="s">
        <v>1</v>
      </c>
      <c r="H1574" s="405">
        <f ca="1">INDEX(PRODUTIVIDADES!$M:$M,MATCH(tbAREAS[[#This Row],[TIPO DE ÁREA]],PRODUTIVIDADES!$B:$B,0)+MATCH(tbAREAS[[#This Row],[LOCALIDADE]],PRODUTIVIDADES!$A:$A,0)-3)*tbAREAS[[#This Row],[ÁREA EM M²]]</f>
        <v>26.435000000000002</v>
      </c>
      <c r="L1574" s="391"/>
    </row>
    <row r="1575" spans="1:12" hidden="1" x14ac:dyDescent="0.25">
      <c r="A1575" s="228" t="s">
        <v>2</v>
      </c>
      <c r="B1575" s="234" t="s">
        <v>96</v>
      </c>
      <c r="C1575" s="230" t="s">
        <v>551</v>
      </c>
      <c r="D1575" s="230" t="s">
        <v>550</v>
      </c>
      <c r="E1575" s="229" t="s">
        <v>22</v>
      </c>
      <c r="F1575" s="231">
        <v>155.5</v>
      </c>
      <c r="G1575" s="229" t="s">
        <v>1</v>
      </c>
      <c r="H1575" s="405">
        <f ca="1">INDEX(PRODUTIVIDADES!$M:$M,MATCH(tbAREAS[[#This Row],[TIPO DE ÁREA]],PRODUTIVIDADES!$B:$B,0)+MATCH(tbAREAS[[#This Row],[LOCALIDADE]],PRODUTIVIDADES!$A:$A,0)-3)*tbAREAS[[#This Row],[ÁREA EM M²]]</f>
        <v>62.2</v>
      </c>
      <c r="L1575" s="391"/>
    </row>
    <row r="1576" spans="1:12" hidden="1" x14ac:dyDescent="0.25">
      <c r="A1576" s="228" t="s">
        <v>2</v>
      </c>
      <c r="B1576" s="234" t="s">
        <v>96</v>
      </c>
      <c r="C1576" s="230" t="s">
        <v>552</v>
      </c>
      <c r="D1576" s="230" t="s">
        <v>550</v>
      </c>
      <c r="E1576" s="229" t="s">
        <v>21</v>
      </c>
      <c r="F1576" s="231">
        <v>75</v>
      </c>
      <c r="G1576" s="229" t="s">
        <v>1</v>
      </c>
      <c r="H1576" s="405">
        <f ca="1">INDEX(PRODUTIVIDADES!$M:$M,MATCH(tbAREAS[[#This Row],[TIPO DE ÁREA]],PRODUTIVIDADES!$B:$B,0)+MATCH(tbAREAS[[#This Row],[LOCALIDADE]],PRODUTIVIDADES!$A:$A,0)-3)*tbAREAS[[#This Row],[ÁREA EM M²]]</f>
        <v>12.750000000000002</v>
      </c>
      <c r="L1576" s="391"/>
    </row>
    <row r="1577" spans="1:12" hidden="1" x14ac:dyDescent="0.25">
      <c r="A1577" s="228" t="s">
        <v>2</v>
      </c>
      <c r="B1577" s="234" t="s">
        <v>96</v>
      </c>
      <c r="C1577" s="230" t="s">
        <v>552</v>
      </c>
      <c r="D1577" s="230" t="s">
        <v>550</v>
      </c>
      <c r="E1577" s="229" t="s">
        <v>22</v>
      </c>
      <c r="F1577" s="231">
        <v>75</v>
      </c>
      <c r="G1577" s="229" t="s">
        <v>1</v>
      </c>
      <c r="H1577" s="405">
        <f ca="1">INDEX(PRODUTIVIDADES!$M:$M,MATCH(tbAREAS[[#This Row],[TIPO DE ÁREA]],PRODUTIVIDADES!$B:$B,0)+MATCH(tbAREAS[[#This Row],[LOCALIDADE]],PRODUTIVIDADES!$A:$A,0)-3)*tbAREAS[[#This Row],[ÁREA EM M²]]</f>
        <v>30</v>
      </c>
      <c r="L1577" s="391"/>
    </row>
    <row r="1578" spans="1:12" hidden="1" x14ac:dyDescent="0.25">
      <c r="A1578" s="228" t="s">
        <v>2</v>
      </c>
      <c r="B1578" s="234" t="s">
        <v>96</v>
      </c>
      <c r="C1578" s="230" t="s">
        <v>553</v>
      </c>
      <c r="D1578" s="230" t="s">
        <v>550</v>
      </c>
      <c r="E1578" s="229" t="s">
        <v>21</v>
      </c>
      <c r="F1578" s="231">
        <v>75</v>
      </c>
      <c r="G1578" s="229" t="s">
        <v>1</v>
      </c>
      <c r="H1578" s="405">
        <f ca="1">INDEX(PRODUTIVIDADES!$M:$M,MATCH(tbAREAS[[#This Row],[TIPO DE ÁREA]],PRODUTIVIDADES!$B:$B,0)+MATCH(tbAREAS[[#This Row],[LOCALIDADE]],PRODUTIVIDADES!$A:$A,0)-3)*tbAREAS[[#This Row],[ÁREA EM M²]]</f>
        <v>12.750000000000002</v>
      </c>
      <c r="L1578" s="391"/>
    </row>
    <row r="1579" spans="1:12" hidden="1" x14ac:dyDescent="0.25">
      <c r="A1579" s="228" t="s">
        <v>2</v>
      </c>
      <c r="B1579" s="234" t="s">
        <v>96</v>
      </c>
      <c r="C1579" s="230" t="s">
        <v>553</v>
      </c>
      <c r="D1579" s="230" t="s">
        <v>550</v>
      </c>
      <c r="E1579" s="229" t="s">
        <v>22</v>
      </c>
      <c r="F1579" s="231">
        <v>75</v>
      </c>
      <c r="G1579" s="229" t="s">
        <v>1</v>
      </c>
      <c r="H1579" s="405">
        <f ca="1">INDEX(PRODUTIVIDADES!$M:$M,MATCH(tbAREAS[[#This Row],[TIPO DE ÁREA]],PRODUTIVIDADES!$B:$B,0)+MATCH(tbAREAS[[#This Row],[LOCALIDADE]],PRODUTIVIDADES!$A:$A,0)-3)*tbAREAS[[#This Row],[ÁREA EM M²]]</f>
        <v>30</v>
      </c>
      <c r="L1579" s="391"/>
    </row>
    <row r="1580" spans="1:12" hidden="1" x14ac:dyDescent="0.25">
      <c r="A1580" s="228" t="s">
        <v>2</v>
      </c>
      <c r="B1580" s="234" t="s">
        <v>96</v>
      </c>
      <c r="C1580" s="230" t="s">
        <v>554</v>
      </c>
      <c r="D1580" s="230" t="s">
        <v>550</v>
      </c>
      <c r="E1580" s="229" t="s">
        <v>21</v>
      </c>
      <c r="F1580" s="231">
        <v>75</v>
      </c>
      <c r="G1580" s="229" t="s">
        <v>1</v>
      </c>
      <c r="H1580" s="405">
        <f ca="1">INDEX(PRODUTIVIDADES!$M:$M,MATCH(tbAREAS[[#This Row],[TIPO DE ÁREA]],PRODUTIVIDADES!$B:$B,0)+MATCH(tbAREAS[[#This Row],[LOCALIDADE]],PRODUTIVIDADES!$A:$A,0)-3)*tbAREAS[[#This Row],[ÁREA EM M²]]</f>
        <v>12.750000000000002</v>
      </c>
      <c r="L1580" s="391"/>
    </row>
    <row r="1581" spans="1:12" hidden="1" x14ac:dyDescent="0.25">
      <c r="A1581" s="228" t="s">
        <v>2</v>
      </c>
      <c r="B1581" s="234" t="s">
        <v>96</v>
      </c>
      <c r="C1581" s="230" t="s">
        <v>554</v>
      </c>
      <c r="D1581" s="230" t="s">
        <v>550</v>
      </c>
      <c r="E1581" s="229" t="s">
        <v>22</v>
      </c>
      <c r="F1581" s="231">
        <v>75</v>
      </c>
      <c r="G1581" s="229" t="s">
        <v>1</v>
      </c>
      <c r="H1581" s="405">
        <f ca="1">INDEX(PRODUTIVIDADES!$M:$M,MATCH(tbAREAS[[#This Row],[TIPO DE ÁREA]],PRODUTIVIDADES!$B:$B,0)+MATCH(tbAREAS[[#This Row],[LOCALIDADE]],PRODUTIVIDADES!$A:$A,0)-3)*tbAREAS[[#This Row],[ÁREA EM M²]]</f>
        <v>30</v>
      </c>
      <c r="L1581" s="391"/>
    </row>
    <row r="1582" spans="1:12" hidden="1" x14ac:dyDescent="0.25">
      <c r="A1582" s="228" t="s">
        <v>2</v>
      </c>
      <c r="B1582" s="234" t="s">
        <v>96</v>
      </c>
      <c r="C1582" s="230" t="s">
        <v>555</v>
      </c>
      <c r="D1582" s="230" t="s">
        <v>550</v>
      </c>
      <c r="E1582" s="229" t="s">
        <v>21</v>
      </c>
      <c r="F1582" s="231">
        <v>75</v>
      </c>
      <c r="G1582" s="229" t="s">
        <v>1</v>
      </c>
      <c r="H1582" s="405">
        <f ca="1">INDEX(PRODUTIVIDADES!$M:$M,MATCH(tbAREAS[[#This Row],[TIPO DE ÁREA]],PRODUTIVIDADES!$B:$B,0)+MATCH(tbAREAS[[#This Row],[LOCALIDADE]],PRODUTIVIDADES!$A:$A,0)-3)*tbAREAS[[#This Row],[ÁREA EM M²]]</f>
        <v>12.750000000000002</v>
      </c>
      <c r="L1582" s="391"/>
    </row>
    <row r="1583" spans="1:12" hidden="1" x14ac:dyDescent="0.25">
      <c r="A1583" s="228" t="s">
        <v>2</v>
      </c>
      <c r="B1583" s="234" t="s">
        <v>96</v>
      </c>
      <c r="C1583" s="230" t="s">
        <v>555</v>
      </c>
      <c r="D1583" s="230" t="s">
        <v>550</v>
      </c>
      <c r="E1583" s="229" t="s">
        <v>22</v>
      </c>
      <c r="F1583" s="231">
        <v>75</v>
      </c>
      <c r="G1583" s="229" t="s">
        <v>1</v>
      </c>
      <c r="H1583" s="405">
        <f ca="1">INDEX(PRODUTIVIDADES!$M:$M,MATCH(tbAREAS[[#This Row],[TIPO DE ÁREA]],PRODUTIVIDADES!$B:$B,0)+MATCH(tbAREAS[[#This Row],[LOCALIDADE]],PRODUTIVIDADES!$A:$A,0)-3)*tbAREAS[[#This Row],[ÁREA EM M²]]</f>
        <v>30</v>
      </c>
      <c r="L1583" s="391"/>
    </row>
    <row r="1584" spans="1:12" hidden="1" x14ac:dyDescent="0.25">
      <c r="A1584" s="228" t="s">
        <v>2</v>
      </c>
      <c r="B1584" s="234" t="s">
        <v>96</v>
      </c>
      <c r="C1584" s="230" t="s">
        <v>556</v>
      </c>
      <c r="D1584" s="230" t="s">
        <v>557</v>
      </c>
      <c r="E1584" s="229" t="s">
        <v>21</v>
      </c>
      <c r="F1584" s="231">
        <v>7.44</v>
      </c>
      <c r="G1584" s="229" t="s">
        <v>1</v>
      </c>
      <c r="H1584" s="405">
        <f ca="1">INDEX(PRODUTIVIDADES!$M:$M,MATCH(tbAREAS[[#This Row],[TIPO DE ÁREA]],PRODUTIVIDADES!$B:$B,0)+MATCH(tbAREAS[[#This Row],[LOCALIDADE]],PRODUTIVIDADES!$A:$A,0)-3)*tbAREAS[[#This Row],[ÁREA EM M²]]</f>
        <v>1.2648000000000001</v>
      </c>
      <c r="L1584" s="391"/>
    </row>
    <row r="1585" spans="1:12" hidden="1" x14ac:dyDescent="0.25">
      <c r="A1585" s="228" t="s">
        <v>2</v>
      </c>
      <c r="B1585" s="234" t="s">
        <v>96</v>
      </c>
      <c r="C1585" s="230" t="s">
        <v>556</v>
      </c>
      <c r="D1585" s="230" t="s">
        <v>557</v>
      </c>
      <c r="E1585" s="229" t="s">
        <v>22</v>
      </c>
      <c r="F1585" s="231">
        <v>7.44</v>
      </c>
      <c r="G1585" s="229" t="s">
        <v>1</v>
      </c>
      <c r="H1585" s="405">
        <f ca="1">INDEX(PRODUTIVIDADES!$M:$M,MATCH(tbAREAS[[#This Row],[TIPO DE ÁREA]],PRODUTIVIDADES!$B:$B,0)+MATCH(tbAREAS[[#This Row],[LOCALIDADE]],PRODUTIVIDADES!$A:$A,0)-3)*tbAREAS[[#This Row],[ÁREA EM M²]]</f>
        <v>2.9760000000000004</v>
      </c>
      <c r="L1585" s="391"/>
    </row>
    <row r="1586" spans="1:12" x14ac:dyDescent="0.25">
      <c r="A1586" s="402" t="s">
        <v>127</v>
      </c>
      <c r="B1586" s="397"/>
      <c r="C1586" s="403"/>
      <c r="D1586" s="403"/>
      <c r="E1586" s="397"/>
      <c r="F1586" s="404">
        <f>SUBTOTAL(109,tbAREAS[ÁREA EM M²])</f>
        <v>518.12</v>
      </c>
      <c r="G1586" s="397"/>
      <c r="H1586" s="401"/>
    </row>
  </sheetData>
  <dataConsolidate topLabels="1">
    <dataRefs count="1">
      <dataRef ref="A1:E44" sheet="POSTOS POR UNIDADE"/>
    </dataRefs>
  </dataConsolidate>
  <mergeCells count="1">
    <mergeCell ref="A1:D1"/>
  </mergeCells>
  <dataValidations count="1">
    <dataValidation type="list" allowBlank="1" showInputMessage="1" showErrorMessage="1" sqref="E4:E1585" xr:uid="{D67202B8-BDFE-474F-801D-0C17CB07F961}">
      <formula1>TIPOS_AREAS</formula1>
    </dataValidation>
  </dataValidations>
  <printOptions horizontalCentered="1"/>
  <pageMargins left="0.51181102362204722" right="0.51181102362204722" top="0.78740157480314965" bottom="0.78740157480314965" header="0.31496062992125984" footer="0.31496062992125984"/>
  <pageSetup paperSize="9" scale="69" fitToHeight="0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027E0-B2AE-44DD-AC1B-22143282EE37}">
  <sheetPr>
    <tabColor rgb="FFFFFF00"/>
    <outlinePr summaryBelow="0"/>
    <pageSetUpPr fitToPage="1"/>
  </sheetPr>
  <dimension ref="A1:AF1104"/>
  <sheetViews>
    <sheetView topLeftCell="G1" workbookViewId="0">
      <selection activeCell="M11" sqref="M11"/>
    </sheetView>
  </sheetViews>
  <sheetFormatPr defaultColWidth="14.42578125" defaultRowHeight="15" customHeight="1" outlineLevelRow="2" x14ac:dyDescent="0.25"/>
  <cols>
    <col min="1" max="1" width="2" customWidth="1"/>
    <col min="2" max="2" width="65.85546875" bestFit="1" customWidth="1"/>
    <col min="3" max="3" width="16.28515625" customWidth="1"/>
    <col min="4" max="4" width="24.7109375" customWidth="1"/>
    <col min="5" max="5" width="28.42578125" customWidth="1"/>
    <col min="6" max="6" width="14.85546875" customWidth="1"/>
    <col min="7" max="7" width="16.7109375" customWidth="1"/>
    <col min="8" max="8" width="14.85546875" customWidth="1"/>
    <col min="9" max="9" width="33.28515625" customWidth="1"/>
    <col min="10" max="12" width="16.85546875" customWidth="1"/>
    <col min="13" max="13" width="12.85546875" customWidth="1"/>
    <col min="14" max="32" width="8.7109375" customWidth="1"/>
  </cols>
  <sheetData>
    <row r="1" spans="1:32" s="38" customFormat="1" ht="40.5" customHeight="1" x14ac:dyDescent="0.25">
      <c r="B1" s="434" t="s">
        <v>558</v>
      </c>
      <c r="C1" s="434"/>
      <c r="D1" s="434"/>
      <c r="E1" s="122"/>
      <c r="F1" s="122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</row>
    <row r="2" spans="1:32" ht="15" customHeight="1" thickBot="1" x14ac:dyDescent="0.3"/>
    <row r="3" spans="1:32" ht="15.75" x14ac:dyDescent="0.25">
      <c r="A3" s="444" t="s">
        <v>2</v>
      </c>
      <c r="B3" s="445"/>
      <c r="C3" s="445"/>
      <c r="D3" s="445"/>
      <c r="E3" s="445"/>
      <c r="F3" s="445"/>
      <c r="G3" s="445"/>
      <c r="H3" s="445"/>
      <c r="I3" s="446"/>
      <c r="J3" s="447" t="s">
        <v>1</v>
      </c>
      <c r="K3" s="448"/>
      <c r="L3" s="448"/>
      <c r="M3" s="449"/>
    </row>
    <row r="4" spans="1:32" ht="30" customHeight="1" outlineLevel="1" x14ac:dyDescent="0.25">
      <c r="A4" s="417" t="s">
        <v>3</v>
      </c>
      <c r="B4" s="418"/>
      <c r="C4" s="27" t="s">
        <v>559</v>
      </c>
      <c r="D4" s="27" t="s">
        <v>560</v>
      </c>
      <c r="E4" s="245" t="s">
        <v>561</v>
      </c>
      <c r="F4" s="27" t="s">
        <v>562</v>
      </c>
      <c r="G4" s="27" t="s">
        <v>563</v>
      </c>
      <c r="H4" s="242" t="s">
        <v>564</v>
      </c>
      <c r="I4" s="242" t="s">
        <v>57</v>
      </c>
      <c r="J4" s="242" t="s">
        <v>565</v>
      </c>
      <c r="K4" s="242" t="s">
        <v>566</v>
      </c>
      <c r="L4" s="242" t="s">
        <v>567</v>
      </c>
      <c r="M4" s="29" t="s">
        <v>568</v>
      </c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</row>
    <row r="5" spans="1:32" outlineLevel="1" x14ac:dyDescent="0.25">
      <c r="A5" s="419" t="s">
        <v>8</v>
      </c>
      <c r="B5" s="420"/>
      <c r="C5" s="420"/>
      <c r="D5" s="420"/>
      <c r="E5" s="420"/>
      <c r="F5" s="420"/>
      <c r="G5" s="420"/>
      <c r="H5" s="420"/>
      <c r="I5" s="420"/>
      <c r="J5" s="420"/>
      <c r="K5" s="420"/>
      <c r="L5" s="420"/>
      <c r="M5" s="421"/>
    </row>
    <row r="6" spans="1:32" outlineLevel="2" x14ac:dyDescent="0.25">
      <c r="A6" s="262"/>
      <c r="B6" s="263" t="s">
        <v>9</v>
      </c>
      <c r="C6" s="28">
        <f>SUMIFS(tbAREAS[ÁREA EM M²],tbAREAS[TIPO DE ÁREA],PRODUTIVIDADES!B6,tbAREAS[LOCALIDADE],PRODUTIVIDADES!A$3)</f>
        <v>43550.999999999993</v>
      </c>
      <c r="D6" s="240" t="s">
        <v>569</v>
      </c>
      <c r="E6" s="388">
        <f t="shared" ref="E6:E15" si="0">(VALUE(RIGHT(D6,LEN(D6)-FIND(" - ",D6)-1))+VALUE(LEFT(D6,FIND(" - ",D6)-1)))/2</f>
        <v>675</v>
      </c>
      <c r="F6" s="241">
        <v>5</v>
      </c>
      <c r="G6" s="28">
        <v>5</v>
      </c>
      <c r="H6" s="243">
        <f>(C6*F6)/(E6*G6)</f>
        <v>64.52</v>
      </c>
      <c r="I6" s="259" t="s">
        <v>63</v>
      </c>
      <c r="J6" s="284">
        <f t="shared" ref="J6:J15" ca="1" si="1">IF(I6&lt;&gt;"",INDEX(INDIRECT(CONCATENATE("'",I6,"'!$1:$162")),MATCH("VALOR TOTAL DO POSTO",INDIRECT(CONCATENATE("'",I6,"'!$A:$A")),0),MATCH(J$3,INDIRECT(CONCATENATE("'",I6,"'!$25:$25")),0)+1),0)</f>
        <v>5073.5200000000004</v>
      </c>
      <c r="K6" s="284">
        <f t="shared" ref="K6:K15" ca="1" si="2">H6*J6</f>
        <v>327343.51040000003</v>
      </c>
      <c r="L6" s="284">
        <f t="shared" ref="L6:L15" ca="1" si="3">(H6/H$22)*$G$135</f>
        <v>12480.150764115562</v>
      </c>
      <c r="M6" s="30">
        <f t="shared" ref="M6:M15" ca="1" si="4">IF(C6=0,0,TRUNC((K6+L6)/C6,2))</f>
        <v>7.8</v>
      </c>
    </row>
    <row r="7" spans="1:32" outlineLevel="2" x14ac:dyDescent="0.25">
      <c r="A7" s="262"/>
      <c r="B7" s="263" t="s">
        <v>10</v>
      </c>
      <c r="C7" s="28">
        <f>SUMIFS(tbAREAS[ÁREA EM M²],tbAREAS[TIPO DE ÁREA],PRODUTIVIDADES!B7,tbAREAS[LOCALIDADE],PRODUTIVIDADES!A$3)</f>
        <v>67607.689999999988</v>
      </c>
      <c r="D7" s="240" t="s">
        <v>569</v>
      </c>
      <c r="E7" s="388">
        <f t="shared" si="0"/>
        <v>675</v>
      </c>
      <c r="F7" s="241">
        <v>2</v>
      </c>
      <c r="G7" s="28">
        <v>5</v>
      </c>
      <c r="H7" s="243">
        <f t="shared" ref="H7:H15" si="5">(C7*F7)/(E7*G7)</f>
        <v>40.063816296296288</v>
      </c>
      <c r="I7" s="259" t="s">
        <v>63</v>
      </c>
      <c r="J7" s="284">
        <f t="shared" ca="1" si="1"/>
        <v>5073.5200000000004</v>
      </c>
      <c r="K7" s="284">
        <f t="shared" ca="1" si="2"/>
        <v>203264.57325558516</v>
      </c>
      <c r="L7" s="284">
        <f t="shared" ca="1" si="3"/>
        <v>7749.5732728395487</v>
      </c>
      <c r="M7" s="30">
        <f t="shared" ca="1" si="4"/>
        <v>3.12</v>
      </c>
    </row>
    <row r="8" spans="1:32" outlineLevel="2" x14ac:dyDescent="0.25">
      <c r="A8" s="262"/>
      <c r="B8" s="263" t="s">
        <v>11</v>
      </c>
      <c r="C8" s="28">
        <f>SUMIFS(tbAREAS[ÁREA EM M²],tbAREAS[TIPO DE ÁREA],PRODUTIVIDADES!B8,tbAREAS[LOCALIDADE],PRODUTIVIDADES!A$3)</f>
        <v>3956.46</v>
      </c>
      <c r="D8" s="240" t="s">
        <v>569</v>
      </c>
      <c r="E8" s="388">
        <f t="shared" si="0"/>
        <v>675</v>
      </c>
      <c r="F8" s="241">
        <v>2</v>
      </c>
      <c r="G8" s="28">
        <v>5</v>
      </c>
      <c r="H8" s="243">
        <f t="shared" si="5"/>
        <v>2.3445688888888889</v>
      </c>
      <c r="I8" s="259" t="s">
        <v>63</v>
      </c>
      <c r="J8" s="284">
        <f t="shared" ca="1" si="1"/>
        <v>5073.5200000000004</v>
      </c>
      <c r="K8" s="284">
        <f t="shared" ca="1" si="2"/>
        <v>11895.217149155556</v>
      </c>
      <c r="L8" s="284">
        <f t="shared" ca="1" si="3"/>
        <v>453.51167405747429</v>
      </c>
      <c r="M8" s="30">
        <f t="shared" ca="1" si="4"/>
        <v>3.12</v>
      </c>
    </row>
    <row r="9" spans="1:32" outlineLevel="2" x14ac:dyDescent="0.25">
      <c r="A9" s="262"/>
      <c r="B9" s="263" t="s">
        <v>12</v>
      </c>
      <c r="C9" s="28">
        <f>SUMIFS(tbAREAS[ÁREA EM M²],tbAREAS[TIPO DE ÁREA],PRODUTIVIDADES!B9,tbAREAS[LOCALIDADE],PRODUTIVIDADES!A$3)</f>
        <v>157.61000000000001</v>
      </c>
      <c r="D9" s="240" t="s">
        <v>569</v>
      </c>
      <c r="E9" s="388">
        <f t="shared" si="0"/>
        <v>675</v>
      </c>
      <c r="F9" s="241">
        <v>2</v>
      </c>
      <c r="G9" s="28">
        <v>5</v>
      </c>
      <c r="H9" s="243">
        <f t="shared" si="5"/>
        <v>9.3398518518518533E-2</v>
      </c>
      <c r="I9" s="259" t="s">
        <v>63</v>
      </c>
      <c r="J9" s="284">
        <f t="shared" ca="1" si="1"/>
        <v>5073.5200000000004</v>
      </c>
      <c r="K9" s="284">
        <f t="shared" ca="1" si="2"/>
        <v>473.85925167407419</v>
      </c>
      <c r="L9" s="284">
        <f t="shared" ca="1" si="3"/>
        <v>18.066143711347653</v>
      </c>
      <c r="M9" s="30">
        <f t="shared" ca="1" si="4"/>
        <v>3.12</v>
      </c>
    </row>
    <row r="10" spans="1:32" outlineLevel="2" x14ac:dyDescent="0.25">
      <c r="A10" s="262"/>
      <c r="B10" s="263" t="s">
        <v>13</v>
      </c>
      <c r="C10" s="28">
        <f>SUMIFS(tbAREAS[ÁREA EM M²],tbAREAS[TIPO DE ÁREA],PRODUTIVIDADES!B10,tbAREAS[LOCALIDADE],PRODUTIVIDADES!A$3)</f>
        <v>3928.5300000000007</v>
      </c>
      <c r="D10" s="240" t="s">
        <v>569</v>
      </c>
      <c r="E10" s="388">
        <f t="shared" si="0"/>
        <v>675</v>
      </c>
      <c r="F10" s="241">
        <v>2</v>
      </c>
      <c r="G10" s="28">
        <v>5</v>
      </c>
      <c r="H10" s="243">
        <f t="shared" si="5"/>
        <v>2.3280177777777782</v>
      </c>
      <c r="I10" s="259" t="s">
        <v>63</v>
      </c>
      <c r="J10" s="284">
        <f t="shared" ca="1" si="1"/>
        <v>5073.5200000000004</v>
      </c>
      <c r="K10" s="284">
        <f t="shared" ca="1" si="2"/>
        <v>11811.244755911113</v>
      </c>
      <c r="L10" s="284">
        <f t="shared" ca="1" si="3"/>
        <v>450.31018053639104</v>
      </c>
      <c r="M10" s="30">
        <f t="shared" ca="1" si="4"/>
        <v>3.12</v>
      </c>
    </row>
    <row r="11" spans="1:32" outlineLevel="2" x14ac:dyDescent="0.25">
      <c r="A11" s="262"/>
      <c r="B11" s="263" t="s">
        <v>14</v>
      </c>
      <c r="C11" s="28">
        <f>SUMIFS(tbAREAS[ÁREA EM M²],tbAREAS[TIPO DE ÁREA],PRODUTIVIDADES!B11,tbAREAS[LOCALIDADE],PRODUTIVIDADES!A$3)</f>
        <v>49260.859999999993</v>
      </c>
      <c r="D11" s="240" t="s">
        <v>570</v>
      </c>
      <c r="E11" s="388">
        <f t="shared" si="0"/>
        <v>371.5</v>
      </c>
      <c r="F11" s="241">
        <v>3</v>
      </c>
      <c r="G11" s="28">
        <v>5</v>
      </c>
      <c r="H11" s="243">
        <f t="shared" si="5"/>
        <v>79.559935397039027</v>
      </c>
      <c r="I11" s="259" t="s">
        <v>63</v>
      </c>
      <c r="J11" s="284">
        <f t="shared" ca="1" si="1"/>
        <v>5073.5200000000004</v>
      </c>
      <c r="K11" s="284">
        <f t="shared" ca="1" si="2"/>
        <v>403648.92343558546</v>
      </c>
      <c r="L11" s="284">
        <f t="shared" ca="1" si="3"/>
        <v>15389.336462156562</v>
      </c>
      <c r="M11" s="30">
        <f t="shared" ca="1" si="4"/>
        <v>8.5</v>
      </c>
    </row>
    <row r="12" spans="1:32" outlineLevel="2" x14ac:dyDescent="0.25">
      <c r="A12" s="262"/>
      <c r="B12" s="263" t="s">
        <v>15</v>
      </c>
      <c r="C12" s="28">
        <f>SUMIFS(tbAREAS[ÁREA EM M²],tbAREAS[TIPO DE ÁREA],PRODUTIVIDADES!B12,tbAREAS[LOCALIDADE],PRODUTIVIDADES!A$3)</f>
        <v>8837.44</v>
      </c>
      <c r="D12" s="240" t="s">
        <v>571</v>
      </c>
      <c r="E12" s="388">
        <f t="shared" si="0"/>
        <v>1519</v>
      </c>
      <c r="F12" s="241">
        <v>1</v>
      </c>
      <c r="G12" s="28">
        <v>5</v>
      </c>
      <c r="H12" s="243">
        <f t="shared" si="5"/>
        <v>1.1635865701119159</v>
      </c>
      <c r="I12" s="259" t="s">
        <v>63</v>
      </c>
      <c r="J12" s="284">
        <f t="shared" ca="1" si="1"/>
        <v>5073.5200000000004</v>
      </c>
      <c r="K12" s="284">
        <f t="shared" ca="1" si="2"/>
        <v>5903.4797351942079</v>
      </c>
      <c r="L12" s="284">
        <f t="shared" ca="1" si="3"/>
        <v>225.0734008384506</v>
      </c>
      <c r="M12" s="30">
        <f t="shared" ca="1" si="4"/>
        <v>0.69</v>
      </c>
    </row>
    <row r="13" spans="1:32" outlineLevel="2" x14ac:dyDescent="0.25">
      <c r="A13" s="264"/>
      <c r="B13" s="265" t="s">
        <v>16</v>
      </c>
      <c r="C13" s="28">
        <f>SUMIFS(tbAREAS[ÁREA EM M²],tbAREAS[TIPO DE ÁREA],PRODUTIVIDADES!B13,tbAREAS[LOCALIDADE],PRODUTIVIDADES!A$3)</f>
        <v>6678.2500000000009</v>
      </c>
      <c r="D13" s="240" t="s">
        <v>572</v>
      </c>
      <c r="E13" s="388">
        <f t="shared" si="0"/>
        <v>1350</v>
      </c>
      <c r="F13" s="241">
        <v>1</v>
      </c>
      <c r="G13" s="28">
        <v>5</v>
      </c>
      <c r="H13" s="243">
        <f t="shared" si="5"/>
        <v>0.98937037037037046</v>
      </c>
      <c r="I13" s="259" t="s">
        <v>63</v>
      </c>
      <c r="J13" s="284">
        <f t="shared" ca="1" si="1"/>
        <v>5073.5200000000004</v>
      </c>
      <c r="K13" s="284">
        <f t="shared" ca="1" si="2"/>
        <v>5019.5903614814824</v>
      </c>
      <c r="L13" s="284">
        <f t="shared" ca="1" si="3"/>
        <v>191.37463397041344</v>
      </c>
      <c r="M13" s="30">
        <f t="shared" ca="1" si="4"/>
        <v>0.78</v>
      </c>
    </row>
    <row r="14" spans="1:32" outlineLevel="2" x14ac:dyDescent="0.25">
      <c r="A14" s="264"/>
      <c r="B14" s="334" t="s">
        <v>17</v>
      </c>
      <c r="C14" s="28">
        <f>SUMIFS(tbAREAS[ÁREA EM M²],tbAREAS[TIPO DE ÁREA],PRODUTIVIDADES!B14,tbAREAS[LOCALIDADE],PRODUTIVIDADES!A$3)</f>
        <v>68712.830000000016</v>
      </c>
      <c r="D14" s="240" t="s">
        <v>573</v>
      </c>
      <c r="E14" s="388">
        <f t="shared" si="0"/>
        <v>900</v>
      </c>
      <c r="F14" s="241">
        <v>2</v>
      </c>
      <c r="G14" s="28">
        <v>5</v>
      </c>
      <c r="H14" s="243">
        <f t="shared" si="5"/>
        <v>30.539035555555564</v>
      </c>
      <c r="I14" s="259" t="s">
        <v>63</v>
      </c>
      <c r="J14" s="284">
        <f t="shared" ca="1" si="1"/>
        <v>5073.5200000000004</v>
      </c>
      <c r="K14" s="284">
        <f t="shared" ca="1" si="2"/>
        <v>154940.40767182229</v>
      </c>
      <c r="L14" s="284">
        <f t="shared" ca="1" si="3"/>
        <v>5907.1879715440027</v>
      </c>
      <c r="M14" s="30">
        <f t="shared" ca="1" si="4"/>
        <v>2.34</v>
      </c>
    </row>
    <row r="15" spans="1:32" outlineLevel="2" x14ac:dyDescent="0.25">
      <c r="A15" s="264"/>
      <c r="B15" s="265" t="s">
        <v>18</v>
      </c>
      <c r="C15" s="28">
        <f>SUMIFS(tbAREAS[ÁREA EM M²],tbAREAS[TIPO DE ÁREA],PRODUTIVIDADES!B15,tbAREAS[LOCALIDADE],PRODUTIVIDADES!A$3)</f>
        <v>11223.899999999996</v>
      </c>
      <c r="D15" s="240" t="s">
        <v>1228</v>
      </c>
      <c r="E15" s="388">
        <f t="shared" si="0"/>
        <v>265</v>
      </c>
      <c r="F15" s="241">
        <v>10</v>
      </c>
      <c r="G15" s="28">
        <v>5</v>
      </c>
      <c r="H15" s="243">
        <f t="shared" si="5"/>
        <v>84.70867924528298</v>
      </c>
      <c r="I15" s="279" t="s">
        <v>81</v>
      </c>
      <c r="J15" s="284">
        <f t="shared" ca="1" si="1"/>
        <v>5816.54</v>
      </c>
      <c r="K15" s="284">
        <f t="shared" ca="1" si="2"/>
        <v>492711.42117735825</v>
      </c>
      <c r="L15" s="284">
        <f t="shared" ca="1" si="3"/>
        <v>16385.261748453788</v>
      </c>
      <c r="M15" s="30">
        <f t="shared" ca="1" si="4"/>
        <v>45.35</v>
      </c>
    </row>
    <row r="16" spans="1:32" outlineLevel="1" x14ac:dyDescent="0.25">
      <c r="A16" s="419" t="s">
        <v>19</v>
      </c>
      <c r="B16" s="420"/>
      <c r="C16" s="420"/>
      <c r="D16" s="420"/>
      <c r="E16" s="420"/>
      <c r="F16" s="420"/>
      <c r="G16" s="420"/>
      <c r="H16" s="420"/>
      <c r="I16" s="420"/>
      <c r="J16" s="420"/>
      <c r="K16" s="420"/>
      <c r="L16" s="420"/>
      <c r="M16" s="421"/>
    </row>
    <row r="17" spans="1:18" outlineLevel="2" x14ac:dyDescent="0.25">
      <c r="A17" s="264"/>
      <c r="B17" s="265" t="s">
        <v>20</v>
      </c>
      <c r="C17" s="28">
        <f>SUMIFS(tbAREAS[ÁREA EM M²],tbAREAS[TIPO DE ÁREA],PRODUTIVIDADES!B17,tbAREAS[LOCALIDADE],PRODUTIVIDADES!A$3)</f>
        <v>10746.310000000001</v>
      </c>
      <c r="D17" s="240" t="s">
        <v>572</v>
      </c>
      <c r="E17" s="388">
        <f>(VALUE(RIGHT(D17,LEN(D17)-FIND(" - ",D17)-1))+VALUE(LEFT(D17,FIND(" - ",D17)-1)))/2</f>
        <v>1350</v>
      </c>
      <c r="F17" s="241">
        <v>1</v>
      </c>
      <c r="G17" s="28">
        <v>5</v>
      </c>
      <c r="H17" s="243">
        <f>(C17*F17)/(E17*G17)</f>
        <v>1.5920459259259261</v>
      </c>
      <c r="I17" s="259" t="s">
        <v>63</v>
      </c>
      <c r="J17" s="284">
        <f ca="1">IF(I17&lt;&gt;"",INDEX(INDIRECT(CONCATENATE("'",I17,"'!$1:$162")),MATCH("VALOR TOTAL DO POSTO",INDIRECT(CONCATENATE("'",I17,"'!$A:$A")),0),MATCH(J$3,INDIRECT(CONCATENATE("'",I17,"'!$25:$25")),0)+1),0)</f>
        <v>5073.5200000000004</v>
      </c>
      <c r="K17" s="284">
        <f ca="1">H17*J17</f>
        <v>8077.2768461037049</v>
      </c>
      <c r="L17" s="284">
        <f ca="1">(H17/H$22)*$G$135</f>
        <v>307.95060723731422</v>
      </c>
      <c r="M17" s="30">
        <f ca="1">IF(C17=0,0,TRUNC((K17+L17)/C17,2))</f>
        <v>0.78</v>
      </c>
    </row>
    <row r="18" spans="1:18" outlineLevel="1" x14ac:dyDescent="0.25">
      <c r="A18" s="419" t="s">
        <v>1103</v>
      </c>
      <c r="B18" s="420"/>
      <c r="C18" s="420"/>
      <c r="D18" s="420"/>
      <c r="E18" s="420"/>
      <c r="F18" s="420"/>
      <c r="G18" s="420"/>
      <c r="H18" s="420"/>
      <c r="I18" s="420"/>
      <c r="J18" s="420"/>
      <c r="K18" s="420"/>
      <c r="L18" s="420"/>
      <c r="M18" s="421"/>
    </row>
    <row r="19" spans="1:18" outlineLevel="2" x14ac:dyDescent="0.25">
      <c r="A19" s="264"/>
      <c r="B19" s="265" t="s">
        <v>21</v>
      </c>
      <c r="C19" s="28">
        <f>SUMIFS(tbAREAS[ÁREA EM M²],tbAREAS[TIPO DE ÁREA],PRODUTIVIDADES!B19,tbAREAS[LOCALIDADE],PRODUTIVIDADES!A$3)</f>
        <v>55187.589999999982</v>
      </c>
      <c r="D19" s="240" t="s">
        <v>574</v>
      </c>
      <c r="E19" s="388">
        <f>(VALUE(RIGHT(D19,LEN(D19)-FIND(" - ",D19)-1))+VALUE(LEFT(D19,FIND(" - ",D19)-1)))/2</f>
        <v>237.5</v>
      </c>
      <c r="F19" s="241">
        <v>0.04</v>
      </c>
      <c r="G19" s="28">
        <v>5</v>
      </c>
      <c r="H19" s="243">
        <f>(C19*F19)/(E19*G19)</f>
        <v>1.8589503999999997</v>
      </c>
      <c r="I19" s="259" t="s">
        <v>63</v>
      </c>
      <c r="J19" s="284">
        <f ca="1">IF(I19&lt;&gt;"",INDEX(INDIRECT(CONCATENATE("'",I19,"'!$1:$162")),MATCH("VALOR TOTAL DO POSTO",INDIRECT(CONCATENATE("'",I19,"'!$A:$A")),0),MATCH(J$3,INDIRECT(CONCATENATE("'",I19,"'!$25:$25")),0)+1),0)</f>
        <v>5073.5200000000004</v>
      </c>
      <c r="K19" s="284">
        <f ca="1">H19*J19</f>
        <v>9431.4220334079982</v>
      </c>
      <c r="L19" s="284">
        <f ca="1">(H19/H$22)*$G$135</f>
        <v>359.57813476461445</v>
      </c>
      <c r="M19" s="30">
        <f ca="1">IF(C19=0,0,TRUNC((K19+L19)/C19,2))</f>
        <v>0.17</v>
      </c>
    </row>
    <row r="20" spans="1:18" outlineLevel="2" x14ac:dyDescent="0.25">
      <c r="A20" s="264"/>
      <c r="B20" s="265" t="s">
        <v>22</v>
      </c>
      <c r="C20" s="28">
        <f>SUMIFS(tbAREAS[ÁREA EM M²],tbAREAS[TIPO DE ÁREA],PRODUTIVIDADES!B20,tbAREAS[LOCALIDADE],PRODUTIVIDADES!A$3)</f>
        <v>54917.399999999994</v>
      </c>
      <c r="D20" s="240" t="s">
        <v>575</v>
      </c>
      <c r="E20" s="388">
        <f>(VALUE(RIGHT(D20,LEN(D20)-FIND(" - ",D20)-1))+VALUE(LEFT(D20,FIND(" - ",D20)-1)))/2</f>
        <v>124</v>
      </c>
      <c r="F20" s="241">
        <v>0.04</v>
      </c>
      <c r="G20" s="28">
        <v>5</v>
      </c>
      <c r="H20" s="243">
        <f>(C20*F20)/(E20*G20)</f>
        <v>3.5430580645161287</v>
      </c>
      <c r="I20" s="259" t="s">
        <v>576</v>
      </c>
      <c r="J20" s="284">
        <f ca="1">IF(I20&lt;&gt;"",INDEX(INDIRECT(CONCATENATE("'",I20,"'!$1:$162")),MATCH("VALOR TOTAL DO POSTO",INDIRECT(CONCATENATE("'",I20,"'!$A:$A")),0),MATCH(J$3,INDIRECT(CONCATENATE("'",I20,"'!$25:$25")),0)+1),0)</f>
        <v>6158.44</v>
      </c>
      <c r="K20" s="284">
        <f ca="1">H20*J20</f>
        <v>21819.710506838706</v>
      </c>
      <c r="L20" s="284">
        <f ca="1">(H20/H$22)*$G$135</f>
        <v>685.33631139455622</v>
      </c>
      <c r="M20" s="30">
        <f ca="1">IF(C20=0,0,TRUNC((K20+L20)/C20,2))</f>
        <v>0.4</v>
      </c>
    </row>
    <row r="21" spans="1:18" outlineLevel="2" x14ac:dyDescent="0.25">
      <c r="A21" s="264"/>
      <c r="B21" s="265" t="s">
        <v>23</v>
      </c>
      <c r="C21" s="28">
        <f>SUMIFS(tbAREAS[ÁREA EM M²],tbAREAS[TIPO DE ÁREA],PRODUTIVIDADES!B21,tbAREAS[LOCALIDADE],PRODUTIVIDADES!A$3)</f>
        <v>4190</v>
      </c>
      <c r="D21" s="240" t="s">
        <v>575</v>
      </c>
      <c r="E21" s="388">
        <f>(VALUE(RIGHT(D21,LEN(D21)-FIND(" - ",D21)-1))+VALUE(LEFT(D21,FIND(" - ",D21)-1)))/2</f>
        <v>124</v>
      </c>
      <c r="F21" s="241">
        <v>0.04</v>
      </c>
      <c r="G21" s="28">
        <v>5</v>
      </c>
      <c r="H21" s="243">
        <f>(C21*F21)/(E21*G21)</f>
        <v>0.27032258064516129</v>
      </c>
      <c r="I21" s="259" t="s">
        <v>576</v>
      </c>
      <c r="J21" s="284">
        <f ca="1">IF(I21&lt;&gt;"",INDEX(INDIRECT(CONCATENATE("'",I21,"'!$1:$162")),MATCH("VALOR TOTAL DO POSTO",INDIRECT(CONCATENATE("'",I21,"'!$A:$A")),0),MATCH(J$3,INDIRECT(CONCATENATE("'",I21,"'!$25:$25")),0)+1),0)</f>
        <v>6158.44</v>
      </c>
      <c r="K21" s="284">
        <f ca="1">H21*J21</f>
        <v>1664.765393548387</v>
      </c>
      <c r="L21" s="284">
        <f ca="1">(H21/H$22)*$G$135</f>
        <v>52.288694379981401</v>
      </c>
      <c r="M21" s="30">
        <f ca="1">IF(C21=0,0,TRUNC((K21+L21)/C21,2))</f>
        <v>0.4</v>
      </c>
    </row>
    <row r="22" spans="1:18" ht="16.5" thickBot="1" x14ac:dyDescent="0.3">
      <c r="A22" s="413" t="s">
        <v>31</v>
      </c>
      <c r="B22" s="414"/>
      <c r="C22" s="31">
        <f>SUM(C19:C21,C17,C6:C15)</f>
        <v>388955.86999999994</v>
      </c>
      <c r="D22" s="31"/>
      <c r="E22" s="31"/>
      <c r="F22" s="31"/>
      <c r="G22" s="31"/>
      <c r="H22" s="244">
        <f>SUM(H19:H21,H17,H6:H15)</f>
        <v>313.57478559092851</v>
      </c>
      <c r="I22" s="244"/>
      <c r="J22" s="244"/>
      <c r="K22" s="244">
        <f ca="1">SUM(K19:K21,K17,K6:K15)</f>
        <v>1658005.4019736666</v>
      </c>
      <c r="L22" s="244">
        <f ca="1">SUM(L19:L21,L17,L6:L15)</f>
        <v>60655.000000000015</v>
      </c>
      <c r="M22" s="32">
        <f ca="1">SUM(M5:M12)</f>
        <v>29.470000000000002</v>
      </c>
    </row>
    <row r="23" spans="1:18" s="225" customFormat="1" ht="55.5" customHeight="1" thickBot="1" x14ac:dyDescent="0.3">
      <c r="A23" s="453" t="s">
        <v>577</v>
      </c>
      <c r="B23" s="453"/>
      <c r="C23" s="453"/>
      <c r="D23" s="453"/>
      <c r="E23" s="453"/>
      <c r="F23" s="453"/>
      <c r="G23" s="453"/>
      <c r="H23" s="453"/>
      <c r="I23" s="453"/>
      <c r="J23" s="453"/>
      <c r="K23" s="453"/>
      <c r="L23" s="453"/>
      <c r="M23" s="453"/>
      <c r="N23" s="239"/>
      <c r="O23" s="239"/>
      <c r="P23" s="239"/>
      <c r="Q23" s="239"/>
      <c r="R23" s="239"/>
    </row>
    <row r="24" spans="1:18" ht="15" customHeight="1" x14ac:dyDescent="0.25">
      <c r="A24" s="444" t="s">
        <v>33</v>
      </c>
      <c r="B24" s="445"/>
      <c r="C24" s="445"/>
      <c r="D24" s="445"/>
      <c r="E24" s="445"/>
      <c r="F24" s="445"/>
      <c r="G24" s="445"/>
      <c r="H24" s="445"/>
      <c r="I24" s="446"/>
      <c r="J24" s="447"/>
      <c r="K24" s="448"/>
      <c r="L24" s="448"/>
      <c r="M24" s="449"/>
    </row>
    <row r="25" spans="1:18" ht="30" customHeight="1" outlineLevel="1" x14ac:dyDescent="0.25">
      <c r="A25" s="417" t="s">
        <v>3</v>
      </c>
      <c r="B25" s="418"/>
      <c r="C25" s="27" t="s">
        <v>559</v>
      </c>
      <c r="D25" s="27" t="s">
        <v>560</v>
      </c>
      <c r="E25" s="245" t="s">
        <v>561</v>
      </c>
      <c r="F25" s="27" t="s">
        <v>578</v>
      </c>
      <c r="G25" s="27" t="s">
        <v>563</v>
      </c>
      <c r="H25" s="242" t="s">
        <v>564</v>
      </c>
      <c r="I25" s="242" t="s">
        <v>57</v>
      </c>
      <c r="J25" s="242" t="s">
        <v>565</v>
      </c>
      <c r="K25" s="242" t="s">
        <v>566</v>
      </c>
      <c r="L25" s="242" t="s">
        <v>579</v>
      </c>
      <c r="M25" s="29" t="s">
        <v>568</v>
      </c>
    </row>
    <row r="26" spans="1:18" ht="15" customHeight="1" outlineLevel="1" x14ac:dyDescent="0.25">
      <c r="A26" s="419" t="s">
        <v>8</v>
      </c>
      <c r="B26" s="420"/>
      <c r="C26" s="420"/>
      <c r="D26" s="420"/>
      <c r="E26" s="420"/>
      <c r="F26" s="420"/>
      <c r="G26" s="420"/>
      <c r="H26" s="420"/>
      <c r="I26" s="420"/>
      <c r="J26" s="420"/>
      <c r="K26" s="420"/>
      <c r="L26" s="420"/>
      <c r="M26" s="421"/>
    </row>
    <row r="27" spans="1:18" ht="15" customHeight="1" outlineLevel="2" x14ac:dyDescent="0.25">
      <c r="A27" s="262"/>
      <c r="B27" s="263" t="s">
        <v>9</v>
      </c>
      <c r="C27" s="28">
        <f>SUMIFS(tbAREAS[ÁREA EM M²],tbAREAS[TIPO DE ÁREA],PRODUTIVIDADES!B27,tbAREAS[LOCALIDADE],PRODUTIVIDADES!A$24)</f>
        <v>2439.4300000000003</v>
      </c>
      <c r="D27" s="240" t="s">
        <v>569</v>
      </c>
      <c r="E27" s="388">
        <f t="shared" ref="E27:E36" si="6">(VALUE(RIGHT(D27,LEN(D27)-FIND(" - ",D27)-1))+VALUE(LEFT(D27,FIND(" - ",D27)-1)))/2</f>
        <v>675</v>
      </c>
      <c r="F27" s="241">
        <v>5.5</v>
      </c>
      <c r="G27" s="28">
        <v>5.5</v>
      </c>
      <c r="H27" s="243">
        <f>(C27*F27)/(E27*G27)</f>
        <v>3.6139703703703709</v>
      </c>
      <c r="I27" s="280" t="s">
        <v>580</v>
      </c>
      <c r="J27" s="284">
        <f t="shared" ref="J27:J36" ca="1" si="7">IF(I27&lt;&gt;"",INDEX(INDIRECT(CONCATENATE("'",I27,"'!$1:$162")),MATCH("VALOR TOTAL DO POSTO",INDIRECT(CONCATENATE("'",I27,"'!$A:$A")),0),MATCH(J$3,INDIRECT(CONCATENATE("'",I27,"'!$25:$25")),0)+1),0)</f>
        <v>5070.99</v>
      </c>
      <c r="K27" s="284">
        <f t="shared" ref="K27:K36" ca="1" si="8">H27*J27</f>
        <v>18326.407608444446</v>
      </c>
      <c r="L27" s="284">
        <f t="shared" ref="L27:L36" ca="1" si="9">(H27/SUM($H$43,$H$65,$H$86,$H$109,$H$131))*$G$136</f>
        <v>537.86897187481816</v>
      </c>
      <c r="M27" s="30">
        <f t="shared" ref="M27:M36" ca="1" si="10">IF(C27=0,0,TRUNC((K27+L27)/C27,2))</f>
        <v>7.73</v>
      </c>
    </row>
    <row r="28" spans="1:18" ht="15" customHeight="1" outlineLevel="2" x14ac:dyDescent="0.25">
      <c r="A28" s="262"/>
      <c r="B28" s="263" t="s">
        <v>10</v>
      </c>
      <c r="C28" s="28">
        <f>SUMIFS(tbAREAS[ÁREA EM M²],tbAREAS[TIPO DE ÁREA],PRODUTIVIDADES!B28,tbAREAS[LOCALIDADE],PRODUTIVIDADES!A$24)</f>
        <v>2181.3099999999995</v>
      </c>
      <c r="D28" s="240" t="s">
        <v>569</v>
      </c>
      <c r="E28" s="388">
        <f t="shared" si="6"/>
        <v>675</v>
      </c>
      <c r="F28" s="241">
        <v>2</v>
      </c>
      <c r="G28" s="28">
        <v>5.5</v>
      </c>
      <c r="H28" s="243">
        <f t="shared" ref="H28:H36" si="11">(C28*F28)/(E28*G28)</f>
        <v>1.1751164983164981</v>
      </c>
      <c r="I28" s="280" t="s">
        <v>580</v>
      </c>
      <c r="J28" s="284">
        <f t="shared" ca="1" si="7"/>
        <v>5070.99</v>
      </c>
      <c r="K28" s="284">
        <f t="shared" ca="1" si="8"/>
        <v>5959.0040117979788</v>
      </c>
      <c r="L28" s="284">
        <f t="shared" ca="1" si="9"/>
        <v>174.89316126237526</v>
      </c>
      <c r="M28" s="30">
        <f t="shared" ca="1" si="10"/>
        <v>2.81</v>
      </c>
    </row>
    <row r="29" spans="1:18" ht="15" customHeight="1" outlineLevel="2" x14ac:dyDescent="0.25">
      <c r="A29" s="262"/>
      <c r="B29" s="263" t="s">
        <v>11</v>
      </c>
      <c r="C29" s="28">
        <f>SUMIFS(tbAREAS[ÁREA EM M²],tbAREAS[TIPO DE ÁREA],PRODUTIVIDADES!B29,tbAREAS[LOCALIDADE],PRODUTIVIDADES!A$24)</f>
        <v>0</v>
      </c>
      <c r="D29" s="240" t="s">
        <v>569</v>
      </c>
      <c r="E29" s="388">
        <f t="shared" si="6"/>
        <v>675</v>
      </c>
      <c r="F29" s="241">
        <v>2</v>
      </c>
      <c r="G29" s="28">
        <v>5.5</v>
      </c>
      <c r="H29" s="243">
        <f t="shared" si="11"/>
        <v>0</v>
      </c>
      <c r="I29" s="280" t="s">
        <v>580</v>
      </c>
      <c r="J29" s="284">
        <f t="shared" ca="1" si="7"/>
        <v>5070.99</v>
      </c>
      <c r="K29" s="284">
        <f t="shared" ca="1" si="8"/>
        <v>0</v>
      </c>
      <c r="L29" s="284">
        <f t="shared" ca="1" si="9"/>
        <v>0</v>
      </c>
      <c r="M29" s="30">
        <f t="shared" si="10"/>
        <v>0</v>
      </c>
    </row>
    <row r="30" spans="1:18" ht="15" customHeight="1" outlineLevel="2" x14ac:dyDescent="0.25">
      <c r="A30" s="262"/>
      <c r="B30" s="263" t="s">
        <v>12</v>
      </c>
      <c r="C30" s="28">
        <f>SUMIFS(tbAREAS[ÁREA EM M²],tbAREAS[TIPO DE ÁREA],PRODUTIVIDADES!B30,tbAREAS[LOCALIDADE],PRODUTIVIDADES!A$24)</f>
        <v>0</v>
      </c>
      <c r="D30" s="240" t="s">
        <v>569</v>
      </c>
      <c r="E30" s="388">
        <f t="shared" si="6"/>
        <v>675</v>
      </c>
      <c r="F30" s="241">
        <v>2</v>
      </c>
      <c r="G30" s="28">
        <v>5.5</v>
      </c>
      <c r="H30" s="243">
        <f t="shared" si="11"/>
        <v>0</v>
      </c>
      <c r="I30" s="280" t="s">
        <v>580</v>
      </c>
      <c r="J30" s="284">
        <f t="shared" ca="1" si="7"/>
        <v>5070.99</v>
      </c>
      <c r="K30" s="284">
        <f t="shared" ca="1" si="8"/>
        <v>0</v>
      </c>
      <c r="L30" s="284">
        <f t="shared" ca="1" si="9"/>
        <v>0</v>
      </c>
      <c r="M30" s="30">
        <f t="shared" si="10"/>
        <v>0</v>
      </c>
    </row>
    <row r="31" spans="1:18" ht="15" customHeight="1" outlineLevel="2" x14ac:dyDescent="0.25">
      <c r="A31" s="262"/>
      <c r="B31" s="263" t="s">
        <v>13</v>
      </c>
      <c r="C31" s="28">
        <f>SUMIFS(tbAREAS[ÁREA EM M²],tbAREAS[TIPO DE ÁREA],PRODUTIVIDADES!B31,tbAREAS[LOCALIDADE],PRODUTIVIDADES!A$24)</f>
        <v>0</v>
      </c>
      <c r="D31" s="240" t="s">
        <v>569</v>
      </c>
      <c r="E31" s="388">
        <f t="shared" si="6"/>
        <v>675</v>
      </c>
      <c r="F31" s="241">
        <v>2</v>
      </c>
      <c r="G31" s="28">
        <v>5.5</v>
      </c>
      <c r="H31" s="243">
        <f t="shared" si="11"/>
        <v>0</v>
      </c>
      <c r="I31" s="280" t="s">
        <v>580</v>
      </c>
      <c r="J31" s="284">
        <f t="shared" ca="1" si="7"/>
        <v>5070.99</v>
      </c>
      <c r="K31" s="284">
        <f t="shared" ca="1" si="8"/>
        <v>0</v>
      </c>
      <c r="L31" s="284">
        <f t="shared" ca="1" si="9"/>
        <v>0</v>
      </c>
      <c r="M31" s="30">
        <f t="shared" si="10"/>
        <v>0</v>
      </c>
    </row>
    <row r="32" spans="1:18" ht="15" customHeight="1" outlineLevel="2" x14ac:dyDescent="0.25">
      <c r="A32" s="262"/>
      <c r="B32" s="263" t="s">
        <v>14</v>
      </c>
      <c r="C32" s="28">
        <f>SUMIFS(tbAREAS[ÁREA EM M²],tbAREAS[TIPO DE ÁREA],PRODUTIVIDADES!B32,tbAREAS[LOCALIDADE],PRODUTIVIDADES!A$24)</f>
        <v>1431.92</v>
      </c>
      <c r="D32" s="240" t="s">
        <v>570</v>
      </c>
      <c r="E32" s="388">
        <f t="shared" si="6"/>
        <v>371.5</v>
      </c>
      <c r="F32" s="241">
        <v>3</v>
      </c>
      <c r="G32" s="28">
        <v>5.5</v>
      </c>
      <c r="H32" s="243">
        <f t="shared" si="11"/>
        <v>2.1024152697907748</v>
      </c>
      <c r="I32" s="280" t="s">
        <v>580</v>
      </c>
      <c r="J32" s="284">
        <f t="shared" ca="1" si="7"/>
        <v>5070.99</v>
      </c>
      <c r="K32" s="284">
        <f t="shared" ca="1" si="8"/>
        <v>10661.326808956321</v>
      </c>
      <c r="L32" s="284">
        <f t="shared" ca="1" si="9"/>
        <v>312.90348943851251</v>
      </c>
      <c r="M32" s="30">
        <f t="shared" ca="1" si="10"/>
        <v>7.66</v>
      </c>
    </row>
    <row r="33" spans="1:13" ht="15" customHeight="1" outlineLevel="2" x14ac:dyDescent="0.25">
      <c r="A33" s="262"/>
      <c r="B33" s="263" t="s">
        <v>15</v>
      </c>
      <c r="C33" s="28">
        <f>SUMIFS(tbAREAS[ÁREA EM M²],tbAREAS[TIPO DE ÁREA],PRODUTIVIDADES!B33,tbAREAS[LOCALIDADE],PRODUTIVIDADES!A$24)</f>
        <v>621.42999999999995</v>
      </c>
      <c r="D33" s="240" t="s">
        <v>571</v>
      </c>
      <c r="E33" s="388">
        <f t="shared" si="6"/>
        <v>1519</v>
      </c>
      <c r="F33" s="241">
        <v>1</v>
      </c>
      <c r="G33" s="28">
        <v>5.5</v>
      </c>
      <c r="H33" s="243">
        <f t="shared" si="11"/>
        <v>7.4382668023221007E-2</v>
      </c>
      <c r="I33" s="280" t="s">
        <v>580</v>
      </c>
      <c r="J33" s="284">
        <f t="shared" ca="1" si="7"/>
        <v>5070.99</v>
      </c>
      <c r="K33" s="284">
        <f t="shared" ca="1" si="8"/>
        <v>377.1937657190735</v>
      </c>
      <c r="L33" s="284">
        <f t="shared" ca="1" si="9"/>
        <v>11.070408740195521</v>
      </c>
      <c r="M33" s="30">
        <f t="shared" ca="1" si="10"/>
        <v>0.62</v>
      </c>
    </row>
    <row r="34" spans="1:13" ht="15" customHeight="1" outlineLevel="2" x14ac:dyDescent="0.25">
      <c r="A34" s="264"/>
      <c r="B34" s="265" t="s">
        <v>16</v>
      </c>
      <c r="C34" s="28">
        <f>SUMIFS(tbAREAS[ÁREA EM M²],tbAREAS[TIPO DE ÁREA],PRODUTIVIDADES!B34,tbAREAS[LOCALIDADE],PRODUTIVIDADES!A$24)</f>
        <v>27</v>
      </c>
      <c r="D34" s="240" t="s">
        <v>572</v>
      </c>
      <c r="E34" s="388">
        <f t="shared" si="6"/>
        <v>1350</v>
      </c>
      <c r="F34" s="241">
        <v>1</v>
      </c>
      <c r="G34" s="28">
        <v>5.5</v>
      </c>
      <c r="H34" s="243">
        <f t="shared" si="11"/>
        <v>3.6363636363636364E-3</v>
      </c>
      <c r="I34" s="280" t="s">
        <v>580</v>
      </c>
      <c r="J34" s="284">
        <f t="shared" ca="1" si="7"/>
        <v>5070.99</v>
      </c>
      <c r="K34" s="284">
        <f t="shared" ca="1" si="8"/>
        <v>18.439963636363636</v>
      </c>
      <c r="L34" s="284">
        <f t="shared" ca="1" si="9"/>
        <v>0.54120177256833424</v>
      </c>
      <c r="M34" s="30">
        <f t="shared" ca="1" si="10"/>
        <v>0.7</v>
      </c>
    </row>
    <row r="35" spans="1:13" ht="15" customHeight="1" outlineLevel="2" x14ac:dyDescent="0.25">
      <c r="A35" s="264"/>
      <c r="B35" s="265" t="s">
        <v>17</v>
      </c>
      <c r="C35" s="28">
        <f>SUMIFS(tbAREAS[ÁREA EM M²],tbAREAS[TIPO DE ÁREA],PRODUTIVIDADES!B35,tbAREAS[LOCALIDADE],PRODUTIVIDADES!A$24)</f>
        <v>3414.6399999999994</v>
      </c>
      <c r="D35" s="240" t="s">
        <v>573</v>
      </c>
      <c r="E35" s="388">
        <f t="shared" si="6"/>
        <v>900</v>
      </c>
      <c r="F35" s="241">
        <v>2</v>
      </c>
      <c r="G35" s="28">
        <v>5.5</v>
      </c>
      <c r="H35" s="243">
        <f t="shared" si="11"/>
        <v>1.3796525252525249</v>
      </c>
      <c r="I35" s="280" t="s">
        <v>580</v>
      </c>
      <c r="J35" s="284">
        <f t="shared" ca="1" si="7"/>
        <v>5070.99</v>
      </c>
      <c r="K35" s="284">
        <f t="shared" ca="1" si="8"/>
        <v>6996.2041590303006</v>
      </c>
      <c r="L35" s="284">
        <f t="shared" ca="1" si="9"/>
        <v>205.33435785363739</v>
      </c>
      <c r="M35" s="30">
        <f t="shared" ca="1" si="10"/>
        <v>2.1</v>
      </c>
    </row>
    <row r="36" spans="1:13" ht="15" customHeight="1" outlineLevel="2" x14ac:dyDescent="0.25">
      <c r="A36" s="264"/>
      <c r="B36" s="265" t="s">
        <v>18</v>
      </c>
      <c r="C36" s="28">
        <f>SUMIFS(tbAREAS[ÁREA EM M²],tbAREAS[TIPO DE ÁREA],PRODUTIVIDADES!B36,tbAREAS[LOCALIDADE],PRODUTIVIDADES!A$24)</f>
        <v>615.54</v>
      </c>
      <c r="D36" s="240" t="s">
        <v>1228</v>
      </c>
      <c r="E36" s="388">
        <f t="shared" si="6"/>
        <v>265</v>
      </c>
      <c r="F36" s="241">
        <v>10</v>
      </c>
      <c r="G36" s="28">
        <v>5.5</v>
      </c>
      <c r="H36" s="243">
        <f t="shared" si="11"/>
        <v>4.2232590051457972</v>
      </c>
      <c r="I36" s="260" t="s">
        <v>125</v>
      </c>
      <c r="J36" s="284">
        <f t="shared" ca="1" si="7"/>
        <v>5805.53</v>
      </c>
      <c r="K36" s="284">
        <f t="shared" ca="1" si="8"/>
        <v>24518.256852144081</v>
      </c>
      <c r="L36" s="284">
        <f t="shared" ca="1" si="9"/>
        <v>628.54969639002354</v>
      </c>
      <c r="M36" s="30">
        <f t="shared" ca="1" si="10"/>
        <v>40.85</v>
      </c>
    </row>
    <row r="37" spans="1:13" ht="15" customHeight="1" outlineLevel="1" x14ac:dyDescent="0.25">
      <c r="A37" s="419" t="s">
        <v>19</v>
      </c>
      <c r="B37" s="420"/>
      <c r="C37" s="420"/>
      <c r="D37" s="420"/>
      <c r="E37" s="420"/>
      <c r="F37" s="420"/>
      <c r="G37" s="420"/>
      <c r="H37" s="420"/>
      <c r="I37" s="420"/>
      <c r="J37" s="420"/>
      <c r="K37" s="420"/>
      <c r="L37" s="420"/>
      <c r="M37" s="421"/>
    </row>
    <row r="38" spans="1:13" ht="15" customHeight="1" outlineLevel="2" x14ac:dyDescent="0.25">
      <c r="A38" s="264"/>
      <c r="B38" s="265" t="s">
        <v>20</v>
      </c>
      <c r="C38" s="28">
        <f>SUMIFS(tbAREAS[ÁREA EM M²],tbAREAS[TIPO DE ÁREA],PRODUTIVIDADES!B38,tbAREAS[LOCALIDADE],PRODUTIVIDADES!A$24)</f>
        <v>3174.0200000000004</v>
      </c>
      <c r="D38" s="240" t="s">
        <v>572</v>
      </c>
      <c r="E38" s="388">
        <f>(VALUE(RIGHT(D38,LEN(D38)-FIND(" - ",D38)-1))+VALUE(LEFT(D38,FIND(" - ",D38)-1)))/2</f>
        <v>1350</v>
      </c>
      <c r="F38" s="241">
        <v>1</v>
      </c>
      <c r="G38" s="28">
        <v>5.5</v>
      </c>
      <c r="H38" s="243">
        <f>(C38*F38)/(E38*G38)</f>
        <v>0.42747744107744112</v>
      </c>
      <c r="I38" s="280" t="s">
        <v>580</v>
      </c>
      <c r="J38" s="284">
        <f ca="1">IF(I38&lt;&gt;"",INDEX(INDIRECT(CONCATENATE("'",I38,"'!$1:$162")),MATCH("VALOR TOTAL DO POSTO",INDIRECT(CONCATENATE("'",I38,"'!$A:$A")),0),MATCH(J$3,INDIRECT(CONCATENATE("'",I38,"'!$25:$25")),0)+1),0)</f>
        <v>5070.99</v>
      </c>
      <c r="K38" s="284">
        <f ca="1">H38*J38</f>
        <v>2167.7338289292929</v>
      </c>
      <c r="L38" s="284">
        <f ca="1">(H38/SUM($H$43,$H$65,$H$86,$H$109,$H$131))*$G$136</f>
        <v>63.621675932123864</v>
      </c>
      <c r="M38" s="30">
        <f ca="1">IF(C38=0,0,TRUNC((K38+L38)/C38,2))</f>
        <v>0.7</v>
      </c>
    </row>
    <row r="39" spans="1:13" ht="15" customHeight="1" outlineLevel="1" x14ac:dyDescent="0.25">
      <c r="A39" s="419" t="s">
        <v>1103</v>
      </c>
      <c r="B39" s="420"/>
      <c r="C39" s="420"/>
      <c r="D39" s="420"/>
      <c r="E39" s="420"/>
      <c r="F39" s="420"/>
      <c r="G39" s="420"/>
      <c r="H39" s="420"/>
      <c r="I39" s="420"/>
      <c r="J39" s="420"/>
      <c r="K39" s="420"/>
      <c r="L39" s="420"/>
      <c r="M39" s="421"/>
    </row>
    <row r="40" spans="1:13" ht="15" customHeight="1" outlineLevel="2" x14ac:dyDescent="0.25">
      <c r="A40" s="264"/>
      <c r="B40" s="265" t="s">
        <v>21</v>
      </c>
      <c r="C40" s="28">
        <f>SUMIFS(tbAREAS[ÁREA EM M²],tbAREAS[TIPO DE ÁREA],PRODUTIVIDADES!B40,tbAREAS[LOCALIDADE],PRODUTIVIDADES!A$24)</f>
        <v>2079.8099999999995</v>
      </c>
      <c r="D40" s="240" t="s">
        <v>574</v>
      </c>
      <c r="E40" s="388">
        <f>(VALUE(RIGHT(D40,LEN(D40)-FIND(" - ",D40)-1))+VALUE(LEFT(D40,FIND(" - ",D40)-1)))/2</f>
        <v>237.5</v>
      </c>
      <c r="F40" s="241">
        <v>0.04</v>
      </c>
      <c r="G40" s="28">
        <v>5</v>
      </c>
      <c r="H40" s="243">
        <f>(C40*F40)/(E40*G40)</f>
        <v>7.0056757894736824E-2</v>
      </c>
      <c r="I40" s="259" t="s">
        <v>63</v>
      </c>
      <c r="J40" s="284">
        <f ca="1">IF(I40&lt;&gt;"",INDEX(INDIRECT(CONCATENATE("'",I40,"'!$1:$162")),MATCH("VALOR TOTAL DO POSTO",INDIRECT(CONCATENATE("'",I40,"'!$A:$A")),0),MATCH(J$3,INDIRECT(CONCATENATE("'",I40,"'!$25:$25")),0)+1),0)</f>
        <v>5073.5200000000004</v>
      </c>
      <c r="K40" s="284">
        <f ca="1">H40*J40</f>
        <v>355.43436231410521</v>
      </c>
      <c r="L40" s="284">
        <f ca="1">(H40/SUM($H$43,$H$65,$H$86,$H$109,$H$131))*$G$136</f>
        <v>10.426581427081109</v>
      </c>
      <c r="M40" s="30">
        <f ca="1">IF(C40=0,0,TRUNC((K40+L40)/C40,2))</f>
        <v>0.17</v>
      </c>
    </row>
    <row r="41" spans="1:13" ht="15" customHeight="1" outlineLevel="2" x14ac:dyDescent="0.25">
      <c r="A41" s="264"/>
      <c r="B41" s="265" t="s">
        <v>22</v>
      </c>
      <c r="C41" s="28">
        <f>SUMIFS(tbAREAS[ÁREA EM M²],tbAREAS[TIPO DE ÁREA],PRODUTIVIDADES!B41,tbAREAS[LOCALIDADE],PRODUTIVIDADES!A$24)</f>
        <v>2079.8099999999995</v>
      </c>
      <c r="D41" s="240" t="s">
        <v>575</v>
      </c>
      <c r="E41" s="388">
        <f>(VALUE(RIGHT(D41,LEN(D41)-FIND(" - ",D41)-1))+VALUE(LEFT(D41,FIND(" - ",D41)-1)))/2</f>
        <v>124</v>
      </c>
      <c r="F41" s="241">
        <v>0.04</v>
      </c>
      <c r="G41" s="28">
        <v>5</v>
      </c>
      <c r="H41" s="243">
        <f>(C41*F41)/(E41*G41)</f>
        <v>0.13418129032258061</v>
      </c>
      <c r="I41" s="259" t="s">
        <v>576</v>
      </c>
      <c r="J41" s="284">
        <f ca="1">IF(I41&lt;&gt;"",INDEX(INDIRECT(CONCATENATE("'",I41,"'!$1:$162")),MATCH("VALOR TOTAL DO POSTO",INDIRECT(CONCATENATE("'",I41,"'!$A:$A")),0),MATCH(J$3,INDIRECT(CONCATENATE("'",I41,"'!$25:$25")),0)+1),0)</f>
        <v>6158.44</v>
      </c>
      <c r="K41" s="284">
        <f ca="1">H41*J41</f>
        <v>826.34742557419327</v>
      </c>
      <c r="L41" s="284">
        <f ca="1">(H41/SUM($H$43,$H$65,$H$86,$H$109,$H$131))*$G$136</f>
        <v>19.970266846223897</v>
      </c>
      <c r="M41" s="30">
        <f ca="1">IF(C41=0,0,TRUNC((K41+L41)/C41,2))</f>
        <v>0.4</v>
      </c>
    </row>
    <row r="42" spans="1:13" ht="15" customHeight="1" outlineLevel="2" x14ac:dyDescent="0.25">
      <c r="A42" s="264"/>
      <c r="B42" s="265" t="s">
        <v>23</v>
      </c>
      <c r="C42" s="28">
        <f>SUMIFS(tbAREAS[ÁREA EM M²],tbAREAS[TIPO DE ÁREA],PRODUTIVIDADES!B42,tbAREAS[LOCALIDADE],PRODUTIVIDADES!A$24)</f>
        <v>0</v>
      </c>
      <c r="D42" s="240" t="s">
        <v>575</v>
      </c>
      <c r="E42" s="388">
        <f>(VALUE(RIGHT(D42,LEN(D42)-FIND(" - ",D42)-1))+VALUE(LEFT(D42,FIND(" - ",D42)-1)))/2</f>
        <v>124</v>
      </c>
      <c r="F42" s="241">
        <v>0.04</v>
      </c>
      <c r="G42" s="28">
        <v>5</v>
      </c>
      <c r="H42" s="243">
        <f>(C42*F42)/(E42*G42)</f>
        <v>0</v>
      </c>
      <c r="I42" s="259" t="s">
        <v>576</v>
      </c>
      <c r="J42" s="284">
        <f ca="1">IF(I42&lt;&gt;"",INDEX(INDIRECT(CONCATENATE("'",I42,"'!$1:$162")),MATCH("VALOR TOTAL DO POSTO",INDIRECT(CONCATENATE("'",I42,"'!$A:$A")),0),MATCH(J$3,INDIRECT(CONCATENATE("'",I42,"'!$25:$25")),0)+1),0)</f>
        <v>6158.44</v>
      </c>
      <c r="K42" s="284">
        <f ca="1">H42*J42</f>
        <v>0</v>
      </c>
      <c r="L42" s="284">
        <f ca="1">(H42/SUM($H$43,$H$65,$H$86,$H$109,$H$131))*$G$136</f>
        <v>0</v>
      </c>
      <c r="M42" s="30">
        <f>IF(C42=0,0,TRUNC((K42+L42)/C42,2))</f>
        <v>0</v>
      </c>
    </row>
    <row r="43" spans="1:13" ht="15" customHeight="1" thickBot="1" x14ac:dyDescent="0.3">
      <c r="A43" s="413" t="s">
        <v>31</v>
      </c>
      <c r="B43" s="414"/>
      <c r="C43" s="31">
        <f>SUM(C40:C42,C38,C27:C36)</f>
        <v>18064.91</v>
      </c>
      <c r="D43" s="31">
        <f>SUMPRODUCT(C26:C33,D26:D33)</f>
        <v>0</v>
      </c>
      <c r="E43" s="31"/>
      <c r="F43" s="31"/>
      <c r="G43" s="31"/>
      <c r="H43" s="244">
        <f>SUM(H40:H42,H38,H27:H36)</f>
        <v>13.204148189830308</v>
      </c>
      <c r="I43" s="244"/>
      <c r="J43" s="244">
        <f ca="1">SUM(J40:J42,J38,J27:J36)</f>
        <v>73905.829999999987</v>
      </c>
      <c r="K43" s="244">
        <f ca="1">SUM(K40:K42,K38,K27:K36)</f>
        <v>70206.34878654615</v>
      </c>
      <c r="L43" s="244">
        <f ca="1">SUM(L40:L42,L38,L27:L36)</f>
        <v>1965.1798115375595</v>
      </c>
      <c r="M43" s="32">
        <f ca="1">SUM(M26:M33)</f>
        <v>18.820000000000004</v>
      </c>
    </row>
    <row r="44" spans="1:13" s="248" customFormat="1" ht="24.75" customHeight="1" x14ac:dyDescent="0.25">
      <c r="A44" s="454" t="s">
        <v>581</v>
      </c>
      <c r="B44" s="454"/>
      <c r="C44" s="454"/>
      <c r="D44" s="454"/>
      <c r="E44" s="454"/>
      <c r="F44" s="454"/>
      <c r="G44" s="454"/>
      <c r="H44" s="454"/>
      <c r="I44" s="454"/>
      <c r="J44" s="454"/>
      <c r="K44" s="454"/>
      <c r="L44" s="454"/>
      <c r="M44" s="454"/>
    </row>
    <row r="45" spans="1:13" s="390" customFormat="1" ht="8.25" customHeight="1" thickBot="1" x14ac:dyDescent="0.3">
      <c r="A45" s="389"/>
      <c r="B45" s="389"/>
      <c r="C45" s="389"/>
      <c r="D45" s="389"/>
      <c r="E45" s="389"/>
      <c r="F45" s="389"/>
      <c r="G45" s="389"/>
      <c r="H45" s="389"/>
      <c r="I45" s="389"/>
      <c r="J45" s="389"/>
      <c r="K45" s="389"/>
      <c r="L45" s="389"/>
      <c r="M45" s="389"/>
    </row>
    <row r="46" spans="1:13" s="387" customFormat="1" ht="15" customHeight="1" x14ac:dyDescent="0.25">
      <c r="A46" s="444" t="s">
        <v>35</v>
      </c>
      <c r="B46" s="445"/>
      <c r="C46" s="445"/>
      <c r="D46" s="445"/>
      <c r="E46" s="445"/>
      <c r="F46" s="445"/>
      <c r="G46" s="445"/>
      <c r="H46" s="445"/>
      <c r="I46" s="446"/>
      <c r="J46" s="447"/>
      <c r="K46" s="448"/>
      <c r="L46" s="448"/>
      <c r="M46" s="449"/>
    </row>
    <row r="47" spans="1:13" ht="30" customHeight="1" outlineLevel="1" x14ac:dyDescent="0.25">
      <c r="A47" s="417" t="s">
        <v>3</v>
      </c>
      <c r="B47" s="418"/>
      <c r="C47" s="27" t="s">
        <v>559</v>
      </c>
      <c r="D47" s="27" t="s">
        <v>560</v>
      </c>
      <c r="E47" s="245" t="s">
        <v>561</v>
      </c>
      <c r="F47" s="27" t="s">
        <v>578</v>
      </c>
      <c r="G47" s="27" t="s">
        <v>563</v>
      </c>
      <c r="H47" s="242" t="s">
        <v>564</v>
      </c>
      <c r="I47" s="242" t="s">
        <v>57</v>
      </c>
      <c r="J47" s="242" t="s">
        <v>565</v>
      </c>
      <c r="K47" s="242" t="s">
        <v>566</v>
      </c>
      <c r="L47" s="242" t="s">
        <v>579</v>
      </c>
      <c r="M47" s="29" t="s">
        <v>568</v>
      </c>
    </row>
    <row r="48" spans="1:13" ht="15" customHeight="1" outlineLevel="1" x14ac:dyDescent="0.25">
      <c r="A48" s="419" t="s">
        <v>8</v>
      </c>
      <c r="B48" s="420"/>
      <c r="C48" s="420"/>
      <c r="D48" s="420"/>
      <c r="E48" s="420"/>
      <c r="F48" s="420"/>
      <c r="G48" s="420"/>
      <c r="H48" s="420"/>
      <c r="I48" s="420"/>
      <c r="J48" s="420"/>
      <c r="K48" s="420"/>
      <c r="L48" s="420"/>
      <c r="M48" s="421"/>
    </row>
    <row r="49" spans="1:13" ht="15" customHeight="1" outlineLevel="2" x14ac:dyDescent="0.25">
      <c r="A49" s="262"/>
      <c r="B49" s="263" t="s">
        <v>9</v>
      </c>
      <c r="C49" s="28">
        <f>SUMIFS(tbAREAS[ÁREA EM M²],tbAREAS[TIPO DE ÁREA],PRODUTIVIDADES!B49,tbAREAS[LOCALIDADE],PRODUTIVIDADES!A$46)</f>
        <v>2030.05</v>
      </c>
      <c r="D49" s="240" t="s">
        <v>569</v>
      </c>
      <c r="E49" s="388">
        <f t="shared" ref="E49:E58" si="12">(VALUE(RIGHT(D49,LEN(D49)-FIND(" - ",D49)-1))+VALUE(LEFT(D49,FIND(" - ",D49)-1)))/2</f>
        <v>675</v>
      </c>
      <c r="F49" s="241">
        <v>5.5</v>
      </c>
      <c r="G49" s="28">
        <v>5.5</v>
      </c>
      <c r="H49" s="243">
        <f>(C49*F49)/(E49*G49)</f>
        <v>3.0074814814814812</v>
      </c>
      <c r="I49" s="257" t="s">
        <v>582</v>
      </c>
      <c r="J49" s="284">
        <f t="shared" ref="J49:J58" ca="1" si="13">IF(I49&lt;&gt;"",INDEX(INDIRECT(CONCATENATE("'",I49,"'!$1:$162")),MATCH("VALOR TOTAL DO POSTO",INDIRECT(CONCATENATE("'",I49,"'!$A:$A")),0),MATCH(J$3,INDIRECT(CONCATENATE("'",I49,"'!$25:$25")),0)+1),0)</f>
        <v>4888.13</v>
      </c>
      <c r="K49" s="284">
        <f t="shared" ref="K49:K58" ca="1" si="14">H49*J49</f>
        <v>14700.960454074073</v>
      </c>
      <c r="L49" s="284">
        <f t="shared" ref="L49:L58" ca="1" si="15">(H49/SUM($H$43,$H$65,$H$86,$H$109,$H$131))*$G$136</f>
        <v>447.60493490465979</v>
      </c>
      <c r="M49" s="30">
        <f t="shared" ref="M49:M58" ca="1" si="16">IF(C49=0,0,TRUNC((K49+L49)/C49,2))</f>
        <v>7.46</v>
      </c>
    </row>
    <row r="50" spans="1:13" ht="15" customHeight="1" outlineLevel="2" x14ac:dyDescent="0.25">
      <c r="A50" s="262"/>
      <c r="B50" s="263" t="s">
        <v>10</v>
      </c>
      <c r="C50" s="28">
        <f>SUMIFS(tbAREAS[ÁREA EM M²],tbAREAS[TIPO DE ÁREA],PRODUTIVIDADES!B50,tbAREAS[LOCALIDADE],PRODUTIVIDADES!A$46)</f>
        <v>3020.1499999999996</v>
      </c>
      <c r="D50" s="240" t="s">
        <v>569</v>
      </c>
      <c r="E50" s="388">
        <f t="shared" si="12"/>
        <v>675</v>
      </c>
      <c r="F50" s="241">
        <v>2</v>
      </c>
      <c r="G50" s="28">
        <v>5.5</v>
      </c>
      <c r="H50" s="243">
        <f t="shared" ref="H50:H58" si="17">(C50*F50)/(E50*G50)</f>
        <v>1.6270168350168348</v>
      </c>
      <c r="I50" s="257" t="s">
        <v>582</v>
      </c>
      <c r="J50" s="284">
        <f t="shared" ca="1" si="13"/>
        <v>4888.13</v>
      </c>
      <c r="K50" s="284">
        <f t="shared" ca="1" si="14"/>
        <v>7953.0698017508412</v>
      </c>
      <c r="L50" s="284">
        <f t="shared" ca="1" si="15"/>
        <v>242.14970865514883</v>
      </c>
      <c r="M50" s="30">
        <f t="shared" ca="1" si="16"/>
        <v>2.71</v>
      </c>
    </row>
    <row r="51" spans="1:13" ht="15" customHeight="1" outlineLevel="2" x14ac:dyDescent="0.25">
      <c r="A51" s="262"/>
      <c r="B51" s="263" t="s">
        <v>11</v>
      </c>
      <c r="C51" s="28">
        <f>SUMIFS(tbAREAS[ÁREA EM M²],tbAREAS[TIPO DE ÁREA],PRODUTIVIDADES!B51,tbAREAS[LOCALIDADE],PRODUTIVIDADES!A$46)</f>
        <v>0</v>
      </c>
      <c r="D51" s="240" t="s">
        <v>569</v>
      </c>
      <c r="E51" s="388">
        <f t="shared" si="12"/>
        <v>675</v>
      </c>
      <c r="F51" s="241">
        <v>2</v>
      </c>
      <c r="G51" s="28">
        <v>5.5</v>
      </c>
      <c r="H51" s="243">
        <f t="shared" si="17"/>
        <v>0</v>
      </c>
      <c r="I51" s="257" t="s">
        <v>582</v>
      </c>
      <c r="J51" s="284">
        <f t="shared" ca="1" si="13"/>
        <v>4888.13</v>
      </c>
      <c r="K51" s="284">
        <f t="shared" ca="1" si="14"/>
        <v>0</v>
      </c>
      <c r="L51" s="284">
        <f t="shared" ca="1" si="15"/>
        <v>0</v>
      </c>
      <c r="M51" s="30">
        <f t="shared" si="16"/>
        <v>0</v>
      </c>
    </row>
    <row r="52" spans="1:13" ht="15" customHeight="1" outlineLevel="2" x14ac:dyDescent="0.25">
      <c r="A52" s="262"/>
      <c r="B52" s="263" t="s">
        <v>12</v>
      </c>
      <c r="C52" s="28">
        <f>SUMIFS(tbAREAS[ÁREA EM M²],tbAREAS[TIPO DE ÁREA],PRODUTIVIDADES!B52,tbAREAS[LOCALIDADE],PRODUTIVIDADES!A$46)</f>
        <v>0</v>
      </c>
      <c r="D52" s="240" t="s">
        <v>569</v>
      </c>
      <c r="E52" s="388">
        <f t="shared" si="12"/>
        <v>675</v>
      </c>
      <c r="F52" s="241">
        <v>2</v>
      </c>
      <c r="G52" s="28">
        <v>5.5</v>
      </c>
      <c r="H52" s="243">
        <f t="shared" si="17"/>
        <v>0</v>
      </c>
      <c r="I52" s="257" t="s">
        <v>582</v>
      </c>
      <c r="J52" s="284">
        <f t="shared" ca="1" si="13"/>
        <v>4888.13</v>
      </c>
      <c r="K52" s="284">
        <f t="shared" ca="1" si="14"/>
        <v>0</v>
      </c>
      <c r="L52" s="284">
        <f t="shared" ca="1" si="15"/>
        <v>0</v>
      </c>
      <c r="M52" s="30">
        <f t="shared" si="16"/>
        <v>0</v>
      </c>
    </row>
    <row r="53" spans="1:13" ht="15" customHeight="1" outlineLevel="2" x14ac:dyDescent="0.25">
      <c r="A53" s="262"/>
      <c r="B53" s="263" t="s">
        <v>13</v>
      </c>
      <c r="C53" s="28">
        <f>SUMIFS(tbAREAS[ÁREA EM M²],tbAREAS[TIPO DE ÁREA],PRODUTIVIDADES!B53,tbAREAS[LOCALIDADE],PRODUTIVIDADES!A$46)</f>
        <v>0</v>
      </c>
      <c r="D53" s="240" t="s">
        <v>569</v>
      </c>
      <c r="E53" s="388">
        <f t="shared" si="12"/>
        <v>675</v>
      </c>
      <c r="F53" s="241">
        <v>2</v>
      </c>
      <c r="G53" s="28">
        <v>5.5</v>
      </c>
      <c r="H53" s="243">
        <f t="shared" si="17"/>
        <v>0</v>
      </c>
      <c r="I53" s="257" t="s">
        <v>582</v>
      </c>
      <c r="J53" s="284">
        <f t="shared" ca="1" si="13"/>
        <v>4888.13</v>
      </c>
      <c r="K53" s="284">
        <f t="shared" ca="1" si="14"/>
        <v>0</v>
      </c>
      <c r="L53" s="284">
        <f t="shared" ca="1" si="15"/>
        <v>0</v>
      </c>
      <c r="M53" s="30">
        <f t="shared" si="16"/>
        <v>0</v>
      </c>
    </row>
    <row r="54" spans="1:13" ht="15" customHeight="1" outlineLevel="2" x14ac:dyDescent="0.25">
      <c r="A54" s="262"/>
      <c r="B54" s="263" t="s">
        <v>14</v>
      </c>
      <c r="C54" s="28">
        <f>SUMIFS(tbAREAS[ÁREA EM M²],tbAREAS[TIPO DE ÁREA],PRODUTIVIDADES!B54,tbAREAS[LOCALIDADE],PRODUTIVIDADES!A$46)</f>
        <v>2434.0300000000002</v>
      </c>
      <c r="D54" s="240" t="s">
        <v>570</v>
      </c>
      <c r="E54" s="388">
        <f t="shared" si="12"/>
        <v>371.5</v>
      </c>
      <c r="F54" s="241">
        <v>3</v>
      </c>
      <c r="G54" s="28">
        <v>5.5</v>
      </c>
      <c r="H54" s="243">
        <f t="shared" si="17"/>
        <v>3.5737623883518905</v>
      </c>
      <c r="I54" s="257" t="s">
        <v>582</v>
      </c>
      <c r="J54" s="284">
        <f t="shared" ca="1" si="13"/>
        <v>4888.13</v>
      </c>
      <c r="K54" s="284">
        <f t="shared" ca="1" si="14"/>
        <v>17469.015143374527</v>
      </c>
      <c r="L54" s="284">
        <f t="shared" ca="1" si="15"/>
        <v>531.88479831137397</v>
      </c>
      <c r="M54" s="30">
        <f t="shared" ca="1" si="16"/>
        <v>7.39</v>
      </c>
    </row>
    <row r="55" spans="1:13" ht="15" customHeight="1" outlineLevel="2" x14ac:dyDescent="0.25">
      <c r="A55" s="262"/>
      <c r="B55" s="263" t="s">
        <v>15</v>
      </c>
      <c r="C55" s="28">
        <f>SUMIFS(tbAREAS[ÁREA EM M²],tbAREAS[TIPO DE ÁREA],PRODUTIVIDADES!B55,tbAREAS[LOCALIDADE],PRODUTIVIDADES!A$46)</f>
        <v>732.73</v>
      </c>
      <c r="D55" s="240" t="s">
        <v>571</v>
      </c>
      <c r="E55" s="388">
        <f t="shared" si="12"/>
        <v>1519</v>
      </c>
      <c r="F55" s="241">
        <v>1</v>
      </c>
      <c r="G55" s="28">
        <v>5.5</v>
      </c>
      <c r="H55" s="243">
        <f t="shared" si="17"/>
        <v>8.7704829732479506E-2</v>
      </c>
      <c r="I55" s="257" t="s">
        <v>582</v>
      </c>
      <c r="J55" s="284">
        <f t="shared" ca="1" si="13"/>
        <v>4888.13</v>
      </c>
      <c r="K55" s="284">
        <f t="shared" ca="1" si="14"/>
        <v>428.71260936022503</v>
      </c>
      <c r="L55" s="284">
        <f t="shared" ca="1" si="15"/>
        <v>13.05315256135601</v>
      </c>
      <c r="M55" s="30">
        <f t="shared" ca="1" si="16"/>
        <v>0.6</v>
      </c>
    </row>
    <row r="56" spans="1:13" ht="15" customHeight="1" outlineLevel="2" x14ac:dyDescent="0.25">
      <c r="A56" s="264"/>
      <c r="B56" s="265" t="s">
        <v>16</v>
      </c>
      <c r="C56" s="28">
        <f>SUMIFS(tbAREAS[ÁREA EM M²],tbAREAS[TIPO DE ÁREA],PRODUTIVIDADES!B56,tbAREAS[LOCALIDADE],PRODUTIVIDADES!A$46)</f>
        <v>376.74</v>
      </c>
      <c r="D56" s="240" t="s">
        <v>572</v>
      </c>
      <c r="E56" s="388">
        <f t="shared" si="12"/>
        <v>1350</v>
      </c>
      <c r="F56" s="241">
        <v>1</v>
      </c>
      <c r="G56" s="28">
        <v>5.5</v>
      </c>
      <c r="H56" s="243">
        <f t="shared" si="17"/>
        <v>5.0739393939393938E-2</v>
      </c>
      <c r="I56" s="257" t="s">
        <v>582</v>
      </c>
      <c r="J56" s="284">
        <f t="shared" ca="1" si="13"/>
        <v>4888.13</v>
      </c>
      <c r="K56" s="284">
        <f t="shared" ca="1" si="14"/>
        <v>248.02075369696971</v>
      </c>
      <c r="L56" s="284">
        <f t="shared" ca="1" si="15"/>
        <v>7.5515687332368246</v>
      </c>
      <c r="M56" s="30">
        <f t="shared" ca="1" si="16"/>
        <v>0.67</v>
      </c>
    </row>
    <row r="57" spans="1:13" ht="15" customHeight="1" outlineLevel="2" x14ac:dyDescent="0.25">
      <c r="A57" s="264"/>
      <c r="B57" s="265" t="s">
        <v>17</v>
      </c>
      <c r="C57" s="28">
        <f>SUMIFS(tbAREAS[ÁREA EM M²],tbAREAS[TIPO DE ÁREA],PRODUTIVIDADES!B57,tbAREAS[LOCALIDADE],PRODUTIVIDADES!A$46)</f>
        <v>2973.0499999999993</v>
      </c>
      <c r="D57" s="240" t="s">
        <v>573</v>
      </c>
      <c r="E57" s="388">
        <f t="shared" si="12"/>
        <v>900</v>
      </c>
      <c r="F57" s="241">
        <v>2</v>
      </c>
      <c r="G57" s="28">
        <v>5.5</v>
      </c>
      <c r="H57" s="243">
        <f t="shared" si="17"/>
        <v>1.201232323232323</v>
      </c>
      <c r="I57" s="257" t="s">
        <v>582</v>
      </c>
      <c r="J57" s="284">
        <f t="shared" ca="1" si="13"/>
        <v>4888.13</v>
      </c>
      <c r="K57" s="284">
        <f t="shared" ca="1" si="14"/>
        <v>5871.7797561616153</v>
      </c>
      <c r="L57" s="284">
        <f t="shared" ca="1" si="15"/>
        <v>178.77999221492064</v>
      </c>
      <c r="M57" s="30">
        <f t="shared" ca="1" si="16"/>
        <v>2.0299999999999998</v>
      </c>
    </row>
    <row r="58" spans="1:13" ht="15" customHeight="1" outlineLevel="2" x14ac:dyDescent="0.25">
      <c r="A58" s="264"/>
      <c r="B58" s="265" t="s">
        <v>18</v>
      </c>
      <c r="C58" s="28">
        <f>SUMIFS(tbAREAS[ÁREA EM M²],tbAREAS[TIPO DE ÁREA],PRODUTIVIDADES!B58,tbAREAS[LOCALIDADE],PRODUTIVIDADES!A$46)</f>
        <v>412.83000000000004</v>
      </c>
      <c r="D58" s="240" t="s">
        <v>1228</v>
      </c>
      <c r="E58" s="388">
        <f t="shared" si="12"/>
        <v>265</v>
      </c>
      <c r="F58" s="241">
        <v>10</v>
      </c>
      <c r="G58" s="28">
        <v>5.5</v>
      </c>
      <c r="H58" s="243">
        <f t="shared" si="17"/>
        <v>2.8324528301886795</v>
      </c>
      <c r="I58" s="258" t="s">
        <v>583</v>
      </c>
      <c r="J58" s="284">
        <f t="shared" ca="1" si="13"/>
        <v>5621.54</v>
      </c>
      <c r="K58" s="284">
        <f t="shared" ca="1" si="14"/>
        <v>15922.74688301887</v>
      </c>
      <c r="L58" s="284">
        <f t="shared" ca="1" si="15"/>
        <v>421.55533541393481</v>
      </c>
      <c r="M58" s="30">
        <f t="shared" ca="1" si="16"/>
        <v>39.590000000000003</v>
      </c>
    </row>
    <row r="59" spans="1:13" ht="15" customHeight="1" outlineLevel="1" x14ac:dyDescent="0.25">
      <c r="A59" s="419" t="s">
        <v>19</v>
      </c>
      <c r="B59" s="420"/>
      <c r="C59" s="420"/>
      <c r="D59" s="420"/>
      <c r="E59" s="420"/>
      <c r="F59" s="420"/>
      <c r="G59" s="420"/>
      <c r="H59" s="420"/>
      <c r="I59" s="420"/>
      <c r="J59" s="420"/>
      <c r="K59" s="420"/>
      <c r="L59" s="420"/>
      <c r="M59" s="421"/>
    </row>
    <row r="60" spans="1:13" ht="15" customHeight="1" outlineLevel="2" x14ac:dyDescent="0.25">
      <c r="A60" s="264"/>
      <c r="B60" s="265" t="s">
        <v>20</v>
      </c>
      <c r="C60" s="28">
        <f>SUMIFS(tbAREAS[ÁREA EM M²],tbAREAS[TIPO DE ÁREA],PRODUTIVIDADES!B60,tbAREAS[LOCALIDADE],PRODUTIVIDADES!A$46)</f>
        <v>19.13</v>
      </c>
      <c r="D60" s="240" t="s">
        <v>572</v>
      </c>
      <c r="E60" s="388">
        <f>(VALUE(RIGHT(D60,LEN(D60)-FIND(" - ",D60)-1))+VALUE(LEFT(D60,FIND(" - ",D60)-1)))/2</f>
        <v>1350</v>
      </c>
      <c r="F60" s="241">
        <v>1</v>
      </c>
      <c r="G60" s="28">
        <v>5.5</v>
      </c>
      <c r="H60" s="243">
        <f>(C60*F60)/(E60*G60)</f>
        <v>2.5764309764309762E-3</v>
      </c>
      <c r="I60" s="257" t="s">
        <v>582</v>
      </c>
      <c r="J60" s="284">
        <f ca="1">IF(I60&lt;&gt;"",INDEX(INDIRECT(CONCATENATE("'",I60,"'!$1:$162")),MATCH("VALOR TOTAL DO POSTO",INDIRECT(CONCATENATE("'",I60,"'!$A:$A")),0),MATCH(J$3,INDIRECT(CONCATENATE("'",I60,"'!$25:$25")),0)+1),0)</f>
        <v>4888.13</v>
      </c>
      <c r="K60" s="284">
        <f ca="1">H60*J60</f>
        <v>12.593929548821547</v>
      </c>
      <c r="L60" s="284">
        <f ca="1">(H60/SUM($H$43,$H$65,$H$86,$H$109,$H$131))*$G$136</f>
        <v>0.38345147811971242</v>
      </c>
      <c r="M60" s="30">
        <f ca="1">IF(C60=0,0,TRUNC((K60+L60)/C60,2))</f>
        <v>0.67</v>
      </c>
    </row>
    <row r="61" spans="1:13" ht="15" customHeight="1" outlineLevel="1" x14ac:dyDescent="0.25">
      <c r="A61" s="419" t="s">
        <v>1103</v>
      </c>
      <c r="B61" s="420"/>
      <c r="C61" s="420"/>
      <c r="D61" s="420"/>
      <c r="E61" s="420"/>
      <c r="F61" s="420"/>
      <c r="G61" s="420"/>
      <c r="H61" s="420"/>
      <c r="I61" s="420"/>
      <c r="J61" s="420"/>
      <c r="K61" s="420"/>
      <c r="L61" s="420"/>
      <c r="M61" s="421"/>
    </row>
    <row r="62" spans="1:13" ht="15" customHeight="1" outlineLevel="2" x14ac:dyDescent="0.25">
      <c r="A62" s="264"/>
      <c r="B62" s="265" t="s">
        <v>21</v>
      </c>
      <c r="C62" s="28">
        <f>SUMIFS(tbAREAS[ÁREA EM M²],tbAREAS[TIPO DE ÁREA],PRODUTIVIDADES!B62,tbAREAS[LOCALIDADE],PRODUTIVIDADES!A$46)</f>
        <v>2190.6300000000006</v>
      </c>
      <c r="D62" s="240" t="s">
        <v>574</v>
      </c>
      <c r="E62" s="388">
        <f>(VALUE(RIGHT(D62,LEN(D62)-FIND(" - ",D62)-1))+VALUE(LEFT(D62,FIND(" - ",D62)-1)))/2</f>
        <v>237.5</v>
      </c>
      <c r="F62" s="241">
        <v>0.04</v>
      </c>
      <c r="G62" s="28">
        <v>5</v>
      </c>
      <c r="H62" s="243">
        <f>(C62*F62)/(E62*G62)</f>
        <v>7.3789642105263176E-2</v>
      </c>
      <c r="I62" s="259" t="s">
        <v>63</v>
      </c>
      <c r="J62" s="284">
        <f ca="1">IF(I62&lt;&gt;"",INDEX(INDIRECT(CONCATENATE("'",I62,"'!$1:$162")),MATCH("VALOR TOTAL DO POSTO",INDIRECT(CONCATENATE("'",I62,"'!$A:$A")),0),MATCH(J$3,INDIRECT(CONCATENATE("'",I62,"'!$25:$25")),0)+1),0)</f>
        <v>5073.5200000000004</v>
      </c>
      <c r="K62" s="284">
        <f ca="1">H62*J62</f>
        <v>374.37322501389485</v>
      </c>
      <c r="L62" s="284">
        <f ca="1">(H62/SUM($H$43,$H$65,$H$86,$H$109,$H$131))*$G$136</f>
        <v>10.982148403751641</v>
      </c>
      <c r="M62" s="30">
        <f ca="1">IF(C62=0,0,TRUNC((K62+L62)/C62,2))</f>
        <v>0.17</v>
      </c>
    </row>
    <row r="63" spans="1:13" ht="15" customHeight="1" outlineLevel="2" x14ac:dyDescent="0.25">
      <c r="A63" s="264"/>
      <c r="B63" s="265" t="s">
        <v>22</v>
      </c>
      <c r="C63" s="28">
        <f>SUMIFS(tbAREAS[ÁREA EM M²],tbAREAS[TIPO DE ÁREA],PRODUTIVIDADES!B63,tbAREAS[LOCALIDADE],PRODUTIVIDADES!A$46)</f>
        <v>2190.6300000000006</v>
      </c>
      <c r="D63" s="240" t="s">
        <v>575</v>
      </c>
      <c r="E63" s="388">
        <f>(VALUE(RIGHT(D63,LEN(D63)-FIND(" - ",D63)-1))+VALUE(LEFT(D63,FIND(" - ",D63)-1)))/2</f>
        <v>124</v>
      </c>
      <c r="F63" s="241">
        <v>0.04</v>
      </c>
      <c r="G63" s="28">
        <v>5</v>
      </c>
      <c r="H63" s="243">
        <f>(C63*F63)/(E63*G63)</f>
        <v>0.14133096774193551</v>
      </c>
      <c r="I63" s="259" t="s">
        <v>576</v>
      </c>
      <c r="J63" s="284">
        <f ca="1">IF(I63&lt;&gt;"",INDEX(INDIRECT(CONCATENATE("'",I63,"'!$1:$162")),MATCH("VALOR TOTAL DO POSTO",INDIRECT(CONCATENATE("'",I63,"'!$A:$A")),0),MATCH(J$3,INDIRECT(CONCATENATE("'",I63,"'!$25:$25")),0)+1),0)</f>
        <v>6158.44</v>
      </c>
      <c r="K63" s="284">
        <f ca="1">H63*J63</f>
        <v>870.37828498064528</v>
      </c>
      <c r="L63" s="284">
        <f ca="1">(H63/SUM($H$43,$H$65,$H$86,$H$109,$H$131))*$G$136</f>
        <v>21.034356821701731</v>
      </c>
      <c r="M63" s="30">
        <f ca="1">IF(C63=0,0,TRUNC((K63+L63)/C63,2))</f>
        <v>0.4</v>
      </c>
    </row>
    <row r="64" spans="1:13" ht="15" customHeight="1" outlineLevel="2" x14ac:dyDescent="0.25">
      <c r="A64" s="264"/>
      <c r="B64" s="265" t="s">
        <v>23</v>
      </c>
      <c r="C64" s="28">
        <f>SUMIFS(tbAREAS[ÁREA EM M²],tbAREAS[TIPO DE ÁREA],PRODUTIVIDADES!B64,tbAREAS[LOCALIDADE],PRODUTIVIDADES!A$46)</f>
        <v>0</v>
      </c>
      <c r="D64" s="240" t="s">
        <v>575</v>
      </c>
      <c r="E64" s="388">
        <f>(VALUE(RIGHT(D64,LEN(D64)-FIND(" - ",D64)-1))+VALUE(LEFT(D64,FIND(" - ",D64)-1)))/2</f>
        <v>124</v>
      </c>
      <c r="F64" s="241">
        <v>0.04</v>
      </c>
      <c r="G64" s="28">
        <v>5</v>
      </c>
      <c r="H64" s="243">
        <f>(C64*F64)/(E64*G64)</f>
        <v>0</v>
      </c>
      <c r="I64" s="259" t="s">
        <v>576</v>
      </c>
      <c r="J64" s="284">
        <f ca="1">IF(I64&lt;&gt;"",INDEX(INDIRECT(CONCATENATE("'",I64,"'!$1:$162")),MATCH("VALOR TOTAL DO POSTO",INDIRECT(CONCATENATE("'",I64,"'!$A:$A")),0),MATCH(J$3,INDIRECT(CONCATENATE("'",I64,"'!$25:$25")),0)+1),0)</f>
        <v>6158.44</v>
      </c>
      <c r="K64" s="284">
        <f ca="1">H64*J64</f>
        <v>0</v>
      </c>
      <c r="L64" s="284">
        <f ca="1">(H64/SUM($H$43,$H$65,$H$86,$H$109,$H$131))*$G$136</f>
        <v>0</v>
      </c>
      <c r="M64" s="30">
        <f>IF(C64=0,0,TRUNC((K64+L64)/C64,2))</f>
        <v>0</v>
      </c>
    </row>
    <row r="65" spans="1:13" ht="15" customHeight="1" thickBot="1" x14ac:dyDescent="0.3">
      <c r="A65" s="413" t="s">
        <v>31</v>
      </c>
      <c r="B65" s="414"/>
      <c r="C65" s="31">
        <f>SUM(C62:C64,C60,C49:C58)</f>
        <v>16379.97</v>
      </c>
      <c r="D65" s="31">
        <f>SUMPRODUCT(C48:C55,D48:D55)</f>
        <v>0</v>
      </c>
      <c r="E65" s="31"/>
      <c r="F65" s="31"/>
      <c r="G65" s="31"/>
      <c r="H65" s="244">
        <f>SUM(H62:H64,H60,H49:H58)</f>
        <v>12.59808712276671</v>
      </c>
      <c r="I65" s="244"/>
      <c r="J65" s="244"/>
      <c r="K65" s="244">
        <f ca="1">SUM(K62:K64,K60,K49:K58)</f>
        <v>63851.650840980481</v>
      </c>
      <c r="L65" s="244">
        <f ca="1">SUM(L62:L64,L60,L49:L58)</f>
        <v>1874.9794474982036</v>
      </c>
      <c r="M65" s="32">
        <f ca="1">SUM(M48:M55)</f>
        <v>18.16</v>
      </c>
    </row>
    <row r="66" spans="1:13" s="225" customFormat="1" ht="45" customHeight="1" thickBot="1" x14ac:dyDescent="0.3">
      <c r="A66" s="453" t="s">
        <v>581</v>
      </c>
      <c r="B66" s="453"/>
      <c r="C66" s="453"/>
      <c r="D66" s="453"/>
      <c r="E66" s="453"/>
      <c r="F66" s="453"/>
      <c r="G66" s="453"/>
      <c r="H66" s="453"/>
      <c r="I66" s="453"/>
      <c r="J66" s="453"/>
      <c r="K66" s="453"/>
      <c r="L66" s="453"/>
      <c r="M66" s="453"/>
    </row>
    <row r="67" spans="1:13" ht="15" customHeight="1" x14ac:dyDescent="0.25">
      <c r="A67" s="444" t="s">
        <v>36</v>
      </c>
      <c r="B67" s="445"/>
      <c r="C67" s="445"/>
      <c r="D67" s="445"/>
      <c r="E67" s="445"/>
      <c r="F67" s="445"/>
      <c r="G67" s="445"/>
      <c r="H67" s="445"/>
      <c r="I67" s="446"/>
      <c r="J67" s="447"/>
      <c r="K67" s="448"/>
      <c r="L67" s="448"/>
      <c r="M67" s="449"/>
    </row>
    <row r="68" spans="1:13" ht="30" customHeight="1" outlineLevel="1" x14ac:dyDescent="0.25">
      <c r="A68" s="417" t="s">
        <v>3</v>
      </c>
      <c r="B68" s="418"/>
      <c r="C68" s="27" t="s">
        <v>559</v>
      </c>
      <c r="D68" s="27" t="s">
        <v>560</v>
      </c>
      <c r="E68" s="245" t="s">
        <v>561</v>
      </c>
      <c r="F68" s="27" t="s">
        <v>578</v>
      </c>
      <c r="G68" s="27" t="s">
        <v>563</v>
      </c>
      <c r="H68" s="242" t="s">
        <v>564</v>
      </c>
      <c r="I68" s="242" t="s">
        <v>57</v>
      </c>
      <c r="J68" s="242" t="s">
        <v>565</v>
      </c>
      <c r="K68" s="242" t="s">
        <v>566</v>
      </c>
      <c r="L68" s="242" t="s">
        <v>579</v>
      </c>
      <c r="M68" s="29" t="s">
        <v>568</v>
      </c>
    </row>
    <row r="69" spans="1:13" ht="15" customHeight="1" outlineLevel="1" x14ac:dyDescent="0.25">
      <c r="A69" s="419" t="s">
        <v>8</v>
      </c>
      <c r="B69" s="420"/>
      <c r="C69" s="420"/>
      <c r="D69" s="420"/>
      <c r="E69" s="420"/>
      <c r="F69" s="420"/>
      <c r="G69" s="420"/>
      <c r="H69" s="420"/>
      <c r="I69" s="420"/>
      <c r="J69" s="420"/>
      <c r="K69" s="420"/>
      <c r="L69" s="420"/>
      <c r="M69" s="421"/>
    </row>
    <row r="70" spans="1:13" ht="15" customHeight="1" outlineLevel="2" x14ac:dyDescent="0.25">
      <c r="A70" s="262"/>
      <c r="B70" s="263" t="s">
        <v>9</v>
      </c>
      <c r="C70" s="28">
        <f>SUMIFS(tbAREAS[ÁREA EM M²],tbAREAS[TIPO DE ÁREA],PRODUTIVIDADES!B70,tbAREAS[LOCALIDADE],PRODUTIVIDADES!A$67)</f>
        <v>2774.25</v>
      </c>
      <c r="D70" s="240" t="s">
        <v>569</v>
      </c>
      <c r="E70" s="388">
        <f t="shared" ref="E70:E79" si="18">(VALUE(RIGHT(D70,LEN(D70)-FIND(" - ",D70)-1))+VALUE(LEFT(D70,FIND(" - ",D70)-1)))/2</f>
        <v>675</v>
      </c>
      <c r="F70" s="241">
        <v>5.5</v>
      </c>
      <c r="G70" s="28">
        <v>5.5</v>
      </c>
      <c r="H70" s="243">
        <f>(C70*F70)/(E70*G70)</f>
        <v>4.1100000000000003</v>
      </c>
      <c r="I70" s="261" t="s">
        <v>584</v>
      </c>
      <c r="J70" s="284">
        <f t="shared" ref="J70:J79" ca="1" si="19">IF(I70&lt;&gt;"",INDEX(INDIRECT(CONCATENATE("'",I70,"'!$1:$162")),MATCH("VALOR TOTAL DO POSTO",INDIRECT(CONCATENATE("'",I70,"'!$A:$A")),0),MATCH(J$3,INDIRECT(CONCATENATE("'",I70,"'!$25:$25")),0)+1),0)</f>
        <v>4960.42</v>
      </c>
      <c r="K70" s="284">
        <f t="shared" ref="K70:K79" ca="1" si="20">H70*J70</f>
        <v>20387.326200000003</v>
      </c>
      <c r="L70" s="284">
        <f t="shared" ref="L70:L79" ca="1" si="21">(H70/SUM($H$43,$H$65,$H$86,$H$109,$H$131))*$G$136</f>
        <v>611.69330344535979</v>
      </c>
      <c r="M70" s="30">
        <f t="shared" ref="M70:M79" ca="1" si="22">IF(C70=0,0,TRUNC((K70+L70)/C70,2))</f>
        <v>7.56</v>
      </c>
    </row>
    <row r="71" spans="1:13" ht="15" customHeight="1" outlineLevel="2" x14ac:dyDescent="0.25">
      <c r="A71" s="262"/>
      <c r="B71" s="263" t="s">
        <v>10</v>
      </c>
      <c r="C71" s="28">
        <f>SUMIFS(tbAREAS[ÁREA EM M²],tbAREAS[TIPO DE ÁREA],PRODUTIVIDADES!B71,tbAREAS[LOCALIDADE],PRODUTIVIDADES!A$67)</f>
        <v>2343.7400000000002</v>
      </c>
      <c r="D71" s="240" t="s">
        <v>569</v>
      </c>
      <c r="E71" s="388">
        <f t="shared" si="18"/>
        <v>675</v>
      </c>
      <c r="F71" s="241">
        <v>2</v>
      </c>
      <c r="G71" s="28">
        <v>5.5</v>
      </c>
      <c r="H71" s="243">
        <f t="shared" ref="H71:H79" si="23">(C71*F71)/(E71*G71)</f>
        <v>1.2626208754208756</v>
      </c>
      <c r="I71" s="261" t="s">
        <v>584</v>
      </c>
      <c r="J71" s="284">
        <f t="shared" ca="1" si="19"/>
        <v>4960.42</v>
      </c>
      <c r="K71" s="284">
        <f t="shared" ca="1" si="20"/>
        <v>6263.12984285522</v>
      </c>
      <c r="L71" s="284">
        <f t="shared" ca="1" si="21"/>
        <v>187.91648036137894</v>
      </c>
      <c r="M71" s="30">
        <f t="shared" ca="1" si="22"/>
        <v>2.75</v>
      </c>
    </row>
    <row r="72" spans="1:13" ht="15" customHeight="1" outlineLevel="2" x14ac:dyDescent="0.25">
      <c r="A72" s="262"/>
      <c r="B72" s="263" t="s">
        <v>11</v>
      </c>
      <c r="C72" s="28">
        <f>SUMIFS(tbAREAS[ÁREA EM M²],tbAREAS[TIPO DE ÁREA],PRODUTIVIDADES!B72,tbAREAS[LOCALIDADE],PRODUTIVIDADES!A$67)</f>
        <v>0</v>
      </c>
      <c r="D72" s="240" t="s">
        <v>569</v>
      </c>
      <c r="E72" s="388">
        <f t="shared" si="18"/>
        <v>675</v>
      </c>
      <c r="F72" s="241">
        <v>2</v>
      </c>
      <c r="G72" s="28">
        <v>5.5</v>
      </c>
      <c r="H72" s="243">
        <f t="shared" si="23"/>
        <v>0</v>
      </c>
      <c r="I72" s="261" t="s">
        <v>584</v>
      </c>
      <c r="J72" s="284">
        <f t="shared" ca="1" si="19"/>
        <v>4960.42</v>
      </c>
      <c r="K72" s="284">
        <f t="shared" ca="1" si="20"/>
        <v>0</v>
      </c>
      <c r="L72" s="284">
        <f t="shared" ca="1" si="21"/>
        <v>0</v>
      </c>
      <c r="M72" s="30">
        <f t="shared" si="22"/>
        <v>0</v>
      </c>
    </row>
    <row r="73" spans="1:13" ht="15" customHeight="1" outlineLevel="2" x14ac:dyDescent="0.25">
      <c r="A73" s="262"/>
      <c r="B73" s="263" t="s">
        <v>12</v>
      </c>
      <c r="C73" s="28">
        <f>SUMIFS(tbAREAS[ÁREA EM M²],tbAREAS[TIPO DE ÁREA],PRODUTIVIDADES!B73,tbAREAS[LOCALIDADE],PRODUTIVIDADES!A$67)</f>
        <v>0</v>
      </c>
      <c r="D73" s="240" t="s">
        <v>569</v>
      </c>
      <c r="E73" s="388">
        <f t="shared" si="18"/>
        <v>675</v>
      </c>
      <c r="F73" s="241">
        <v>2</v>
      </c>
      <c r="G73" s="28">
        <v>5.5</v>
      </c>
      <c r="H73" s="243">
        <f t="shared" si="23"/>
        <v>0</v>
      </c>
      <c r="I73" s="261" t="s">
        <v>584</v>
      </c>
      <c r="J73" s="284">
        <f t="shared" ca="1" si="19"/>
        <v>4960.42</v>
      </c>
      <c r="K73" s="284">
        <f t="shared" ca="1" si="20"/>
        <v>0</v>
      </c>
      <c r="L73" s="284">
        <f t="shared" ca="1" si="21"/>
        <v>0</v>
      </c>
      <c r="M73" s="30">
        <f t="shared" si="22"/>
        <v>0</v>
      </c>
    </row>
    <row r="74" spans="1:13" ht="15" customHeight="1" outlineLevel="2" x14ac:dyDescent="0.25">
      <c r="A74" s="262"/>
      <c r="B74" s="263" t="s">
        <v>13</v>
      </c>
      <c r="C74" s="28">
        <f>SUMIFS(tbAREAS[ÁREA EM M²],tbAREAS[TIPO DE ÁREA],PRODUTIVIDADES!B74,tbAREAS[LOCALIDADE],PRODUTIVIDADES!A$67)</f>
        <v>24.25</v>
      </c>
      <c r="D74" s="240" t="s">
        <v>569</v>
      </c>
      <c r="E74" s="388">
        <f t="shared" si="18"/>
        <v>675</v>
      </c>
      <c r="F74" s="241">
        <v>2</v>
      </c>
      <c r="G74" s="28">
        <v>5.5</v>
      </c>
      <c r="H74" s="243">
        <f t="shared" si="23"/>
        <v>1.3063973063973064E-2</v>
      </c>
      <c r="I74" s="261" t="s">
        <v>584</v>
      </c>
      <c r="J74" s="284">
        <f t="shared" ca="1" si="19"/>
        <v>4960.42</v>
      </c>
      <c r="K74" s="284">
        <f t="shared" ca="1" si="20"/>
        <v>64.802793265993273</v>
      </c>
      <c r="L74" s="284">
        <f t="shared" ca="1" si="21"/>
        <v>1.9443174792269786</v>
      </c>
      <c r="M74" s="30">
        <f t="shared" ca="1" si="22"/>
        <v>2.75</v>
      </c>
    </row>
    <row r="75" spans="1:13" ht="15" customHeight="1" outlineLevel="2" x14ac:dyDescent="0.25">
      <c r="A75" s="262"/>
      <c r="B75" s="263" t="s">
        <v>14</v>
      </c>
      <c r="C75" s="28">
        <f>SUMIFS(tbAREAS[ÁREA EM M²],tbAREAS[TIPO DE ÁREA],PRODUTIVIDADES!B75,tbAREAS[LOCALIDADE],PRODUTIVIDADES!A$67)</f>
        <v>2966.3600000000006</v>
      </c>
      <c r="D75" s="240" t="s">
        <v>570</v>
      </c>
      <c r="E75" s="388">
        <f t="shared" si="18"/>
        <v>371.5</v>
      </c>
      <c r="F75" s="241">
        <v>3</v>
      </c>
      <c r="G75" s="28">
        <v>5.5</v>
      </c>
      <c r="H75" s="243">
        <f t="shared" si="23"/>
        <v>4.3553554386394238</v>
      </c>
      <c r="I75" s="261" t="s">
        <v>584</v>
      </c>
      <c r="J75" s="284">
        <f t="shared" ca="1" si="19"/>
        <v>4960.42</v>
      </c>
      <c r="K75" s="284">
        <f t="shared" ca="1" si="20"/>
        <v>21604.392224935771</v>
      </c>
      <c r="L75" s="284">
        <f t="shared" ca="1" si="21"/>
        <v>648.20967297811751</v>
      </c>
      <c r="M75" s="30">
        <f t="shared" ca="1" si="22"/>
        <v>7.5</v>
      </c>
    </row>
    <row r="76" spans="1:13" ht="15" customHeight="1" outlineLevel="2" x14ac:dyDescent="0.25">
      <c r="A76" s="262"/>
      <c r="B76" s="263" t="s">
        <v>15</v>
      </c>
      <c r="C76" s="28">
        <f>SUMIFS(tbAREAS[ÁREA EM M²],tbAREAS[TIPO DE ÁREA],PRODUTIVIDADES!B76,tbAREAS[LOCALIDADE],PRODUTIVIDADES!A$67)</f>
        <v>568.92000000000007</v>
      </c>
      <c r="D76" s="240" t="s">
        <v>571</v>
      </c>
      <c r="E76" s="388">
        <f t="shared" si="18"/>
        <v>1519</v>
      </c>
      <c r="F76" s="241">
        <v>1</v>
      </c>
      <c r="G76" s="28">
        <v>5.5</v>
      </c>
      <c r="H76" s="243">
        <f t="shared" si="23"/>
        <v>6.8097432521395662E-2</v>
      </c>
      <c r="I76" s="261" t="s">
        <v>584</v>
      </c>
      <c r="J76" s="284">
        <f t="shared" ca="1" si="19"/>
        <v>4960.42</v>
      </c>
      <c r="K76" s="284">
        <f t="shared" ca="1" si="20"/>
        <v>337.7918662277815</v>
      </c>
      <c r="L76" s="284">
        <f t="shared" ca="1" si="21"/>
        <v>10.134974076681262</v>
      </c>
      <c r="M76" s="30">
        <f t="shared" ca="1" si="22"/>
        <v>0.61</v>
      </c>
    </row>
    <row r="77" spans="1:13" ht="15" customHeight="1" outlineLevel="2" x14ac:dyDescent="0.25">
      <c r="A77" s="264"/>
      <c r="B77" s="265" t="s">
        <v>16</v>
      </c>
      <c r="C77" s="28">
        <f>SUMIFS(tbAREAS[ÁREA EM M²],tbAREAS[TIPO DE ÁREA],PRODUTIVIDADES!B77,tbAREAS[LOCALIDADE],PRODUTIVIDADES!A$67)</f>
        <v>0</v>
      </c>
      <c r="D77" s="240" t="s">
        <v>572</v>
      </c>
      <c r="E77" s="388">
        <f t="shared" si="18"/>
        <v>1350</v>
      </c>
      <c r="F77" s="241">
        <v>1</v>
      </c>
      <c r="G77" s="28">
        <v>5.5</v>
      </c>
      <c r="H77" s="243">
        <f t="shared" si="23"/>
        <v>0</v>
      </c>
      <c r="I77" s="261" t="s">
        <v>584</v>
      </c>
      <c r="J77" s="284">
        <f t="shared" ca="1" si="19"/>
        <v>4960.42</v>
      </c>
      <c r="K77" s="284">
        <f t="shared" ca="1" si="20"/>
        <v>0</v>
      </c>
      <c r="L77" s="284">
        <f t="shared" ca="1" si="21"/>
        <v>0</v>
      </c>
      <c r="M77" s="30">
        <f t="shared" si="22"/>
        <v>0</v>
      </c>
    </row>
    <row r="78" spans="1:13" ht="15" customHeight="1" outlineLevel="2" x14ac:dyDescent="0.25">
      <c r="A78" s="264"/>
      <c r="B78" s="265" t="s">
        <v>17</v>
      </c>
      <c r="C78" s="28">
        <f>SUMIFS(tbAREAS[ÁREA EM M²],tbAREAS[TIPO DE ÁREA],PRODUTIVIDADES!B78,tbAREAS[LOCALIDADE],PRODUTIVIDADES!A$67)</f>
        <v>3266.3999999999996</v>
      </c>
      <c r="D78" s="240" t="s">
        <v>573</v>
      </c>
      <c r="E78" s="388">
        <f t="shared" si="18"/>
        <v>900</v>
      </c>
      <c r="F78" s="241">
        <v>2</v>
      </c>
      <c r="G78" s="28">
        <v>5.5</v>
      </c>
      <c r="H78" s="243">
        <f t="shared" si="23"/>
        <v>1.3197575757575757</v>
      </c>
      <c r="I78" s="261" t="s">
        <v>584</v>
      </c>
      <c r="J78" s="284">
        <f t="shared" ca="1" si="19"/>
        <v>4960.42</v>
      </c>
      <c r="K78" s="284">
        <f t="shared" ca="1" si="20"/>
        <v>6546.5518739393938</v>
      </c>
      <c r="L78" s="284">
        <f t="shared" ca="1" si="21"/>
        <v>196.42016332413411</v>
      </c>
      <c r="M78" s="30">
        <f t="shared" ca="1" si="22"/>
        <v>2.06</v>
      </c>
    </row>
    <row r="79" spans="1:13" ht="15" customHeight="1" outlineLevel="2" x14ac:dyDescent="0.25">
      <c r="A79" s="264"/>
      <c r="B79" s="265" t="s">
        <v>18</v>
      </c>
      <c r="C79" s="28">
        <f>SUMIFS(tbAREAS[ÁREA EM M²],tbAREAS[TIPO DE ÁREA],PRODUTIVIDADES!B79,tbAREAS[LOCALIDADE],PRODUTIVIDADES!A$67)</f>
        <v>475.90999999999997</v>
      </c>
      <c r="D79" s="240" t="s">
        <v>1228</v>
      </c>
      <c r="E79" s="388">
        <f t="shared" si="18"/>
        <v>265</v>
      </c>
      <c r="F79" s="241">
        <v>10</v>
      </c>
      <c r="G79" s="28">
        <v>5.5</v>
      </c>
      <c r="H79" s="243">
        <f t="shared" si="23"/>
        <v>3.2652487135506001</v>
      </c>
      <c r="I79" s="260" t="s">
        <v>585</v>
      </c>
      <c r="J79" s="284">
        <f t="shared" ca="1" si="19"/>
        <v>5694.97</v>
      </c>
      <c r="K79" s="284">
        <f t="shared" ca="1" si="20"/>
        <v>18595.49346620926</v>
      </c>
      <c r="L79" s="284">
        <f t="shared" ca="1" si="21"/>
        <v>485.9685577037659</v>
      </c>
      <c r="M79" s="30">
        <f t="shared" ca="1" si="22"/>
        <v>40.090000000000003</v>
      </c>
    </row>
    <row r="80" spans="1:13" ht="15" customHeight="1" outlineLevel="1" x14ac:dyDescent="0.25">
      <c r="A80" s="419" t="s">
        <v>19</v>
      </c>
      <c r="B80" s="420"/>
      <c r="C80" s="420"/>
      <c r="D80" s="420"/>
      <c r="E80" s="420"/>
      <c r="F80" s="420"/>
      <c r="G80" s="420"/>
      <c r="H80" s="420"/>
      <c r="I80" s="420"/>
      <c r="J80" s="420"/>
      <c r="K80" s="420"/>
      <c r="L80" s="420"/>
      <c r="M80" s="421"/>
    </row>
    <row r="81" spans="1:13" ht="15" customHeight="1" outlineLevel="2" x14ac:dyDescent="0.25">
      <c r="A81" s="264"/>
      <c r="B81" s="265" t="s">
        <v>20</v>
      </c>
      <c r="C81" s="28">
        <f>SUMIFS(tbAREAS[ÁREA EM M²],tbAREAS[TIPO DE ÁREA],PRODUTIVIDADES!B81,tbAREAS[LOCALIDADE],PRODUTIVIDADES!A$67)</f>
        <v>1397.6999999999998</v>
      </c>
      <c r="D81" s="240" t="s">
        <v>572</v>
      </c>
      <c r="E81" s="388">
        <f>(VALUE(RIGHT(D81,LEN(D81)-FIND(" - ",D81)-1))+VALUE(LEFT(D81,FIND(" - ",D81)-1)))/2</f>
        <v>1350</v>
      </c>
      <c r="F81" s="241">
        <v>1</v>
      </c>
      <c r="G81" s="28">
        <v>5.5</v>
      </c>
      <c r="H81" s="243">
        <f>(C81*F81)/(E81*G81)</f>
        <v>0.18824242424242421</v>
      </c>
      <c r="I81" s="261" t="s">
        <v>584</v>
      </c>
      <c r="J81" s="284">
        <f ca="1">IF(I81&lt;&gt;"",INDEX(INDIRECT(CONCATENATE("'",I81,"'!$1:$162")),MATCH("VALOR TOTAL DO POSTO",INDIRECT(CONCATENATE("'",I81,"'!$A:$A")),0),MATCH(J$3,INDIRECT(CONCATENATE("'",I81,"'!$25:$25")),0)+1),0)</f>
        <v>4960.42</v>
      </c>
      <c r="K81" s="284">
        <f ca="1">H81*J81</f>
        <v>933.76148606060588</v>
      </c>
      <c r="L81" s="284">
        <f ca="1">(H81/SUM($H$43,$H$65,$H$86,$H$109,$H$131))*$G$136</f>
        <v>28.0162117599541</v>
      </c>
      <c r="M81" s="30">
        <f ca="1">IF(C81=0,0,TRUNC((K81+L81)/C81,2))</f>
        <v>0.68</v>
      </c>
    </row>
    <row r="82" spans="1:13" ht="15" customHeight="1" outlineLevel="1" x14ac:dyDescent="0.25">
      <c r="A82" s="419" t="s">
        <v>1103</v>
      </c>
      <c r="B82" s="420"/>
      <c r="C82" s="420"/>
      <c r="D82" s="420"/>
      <c r="E82" s="420"/>
      <c r="F82" s="420"/>
      <c r="G82" s="420"/>
      <c r="H82" s="420"/>
      <c r="I82" s="420"/>
      <c r="J82" s="420"/>
      <c r="K82" s="420"/>
      <c r="L82" s="420"/>
      <c r="M82" s="421"/>
    </row>
    <row r="83" spans="1:13" ht="15" customHeight="1" outlineLevel="2" x14ac:dyDescent="0.25">
      <c r="A83" s="264"/>
      <c r="B83" s="265" t="s">
        <v>21</v>
      </c>
      <c r="C83" s="28">
        <f>SUMIFS(tbAREAS[ÁREA EM M²],tbAREAS[TIPO DE ÁREA],PRODUTIVIDADES!B83,tbAREAS[LOCALIDADE],PRODUTIVIDADES!A$67)</f>
        <v>3074.6900000000005</v>
      </c>
      <c r="D83" s="240" t="s">
        <v>574</v>
      </c>
      <c r="E83" s="388">
        <f>(VALUE(RIGHT(D83,LEN(D83)-FIND(" - ",D83)-1))+VALUE(LEFT(D83,FIND(" - ",D83)-1)))/2</f>
        <v>237.5</v>
      </c>
      <c r="F83" s="241">
        <v>0.04</v>
      </c>
      <c r="G83" s="28">
        <v>5</v>
      </c>
      <c r="H83" s="243">
        <f>(C83*F83)/(E83*G83)</f>
        <v>0.10356850526315792</v>
      </c>
      <c r="I83" s="259" t="s">
        <v>63</v>
      </c>
      <c r="J83" s="284">
        <f ca="1">IF(I83&lt;&gt;"",INDEX(INDIRECT(CONCATENATE("'",I83,"'!$1:$162")),MATCH("VALOR TOTAL DO POSTO",INDIRECT(CONCATENATE("'",I83,"'!$A:$A")),0),MATCH(J$3,INDIRECT(CONCATENATE("'",I83,"'!$25:$25")),0)+1),0)</f>
        <v>5073.5200000000004</v>
      </c>
      <c r="K83" s="284">
        <f ca="1">H83*J83</f>
        <v>525.45688282273704</v>
      </c>
      <c r="L83" s="284">
        <f ca="1">(H83/SUM($H$43,$H$65,$H$86,$H$109,$H$131))*$G$136</f>
        <v>15.414151123435328</v>
      </c>
      <c r="M83" s="30">
        <f ca="1">IF(C83=0,0,TRUNC((K83+L83)/C83,2))</f>
        <v>0.17</v>
      </c>
    </row>
    <row r="84" spans="1:13" ht="15" customHeight="1" outlineLevel="2" x14ac:dyDescent="0.25">
      <c r="A84" s="264"/>
      <c r="B84" s="265" t="s">
        <v>22</v>
      </c>
      <c r="C84" s="28">
        <f>SUMIFS(tbAREAS[ÁREA EM M²],tbAREAS[TIPO DE ÁREA],PRODUTIVIDADES!B84,tbAREAS[LOCALIDADE],PRODUTIVIDADES!A$67)</f>
        <v>3074.6900000000005</v>
      </c>
      <c r="D84" s="240" t="s">
        <v>575</v>
      </c>
      <c r="E84" s="388">
        <f>(VALUE(RIGHT(D84,LEN(D84)-FIND(" - ",D84)-1))+VALUE(LEFT(D84,FIND(" - ",D84)-1)))/2</f>
        <v>124</v>
      </c>
      <c r="F84" s="241">
        <v>0.04</v>
      </c>
      <c r="G84" s="28">
        <v>5</v>
      </c>
      <c r="H84" s="243">
        <f>(C84*F84)/(E84*G84)</f>
        <v>0.19836709677419359</v>
      </c>
      <c r="I84" s="259" t="s">
        <v>576</v>
      </c>
      <c r="J84" s="284">
        <f ca="1">IF(I84&lt;&gt;"",INDEX(INDIRECT(CONCATENATE("'",I84,"'!$1:$162")),MATCH("VALOR TOTAL DO POSTO",INDIRECT(CONCATENATE("'",I84,"'!$A:$A")),0),MATCH(J$3,INDIRECT(CONCATENATE("'",I84,"'!$25:$25")),0)+1),0)</f>
        <v>6158.44</v>
      </c>
      <c r="K84" s="284">
        <f ca="1">H84*J84</f>
        <v>1221.6318634580648</v>
      </c>
      <c r="L84" s="284">
        <f ca="1">(H84/SUM($H$43,$H$65,$H$86,$H$109,$H$131))*$G$136</f>
        <v>29.523071708192663</v>
      </c>
      <c r="M84" s="30">
        <f ca="1">IF(C84=0,0,TRUNC((K84+L84)/C84,2))</f>
        <v>0.4</v>
      </c>
    </row>
    <row r="85" spans="1:13" ht="15" customHeight="1" outlineLevel="2" x14ac:dyDescent="0.25">
      <c r="A85" s="264"/>
      <c r="B85" s="265" t="s">
        <v>23</v>
      </c>
      <c r="C85" s="28">
        <f>SUMIFS(tbAREAS[ÁREA EM M²],tbAREAS[TIPO DE ÁREA],PRODUTIVIDADES!B85,tbAREAS[LOCALIDADE],PRODUTIVIDADES!A$67)</f>
        <v>0</v>
      </c>
      <c r="D85" s="240" t="s">
        <v>575</v>
      </c>
      <c r="E85" s="388">
        <f>(VALUE(RIGHT(D85,LEN(D85)-FIND(" - ",D85)-1))+VALUE(LEFT(D85,FIND(" - ",D85)-1)))/2</f>
        <v>124</v>
      </c>
      <c r="F85" s="241">
        <v>0.04</v>
      </c>
      <c r="G85" s="28">
        <v>5</v>
      </c>
      <c r="H85" s="243">
        <f>(C85*F85)/(E85*G85)</f>
        <v>0</v>
      </c>
      <c r="I85" s="259" t="s">
        <v>576</v>
      </c>
      <c r="J85" s="284">
        <f ca="1">IF(I85&lt;&gt;"",INDEX(INDIRECT(CONCATENATE("'",I85,"'!$1:$162")),MATCH("VALOR TOTAL DO POSTO",INDIRECT(CONCATENATE("'",I85,"'!$A:$A")),0),MATCH(J$3,INDIRECT(CONCATENATE("'",I85,"'!$25:$25")),0)+1),0)</f>
        <v>6158.44</v>
      </c>
      <c r="K85" s="284">
        <f ca="1">H85*J85</f>
        <v>0</v>
      </c>
      <c r="L85" s="284">
        <f ca="1">(H85/SUM($H$43,$H$65,$H$86,$H$109,$H$131))*$G$136</f>
        <v>0</v>
      </c>
      <c r="M85" s="30">
        <f>IF(C85=0,0,TRUNC((K85+L85)/C85,2))</f>
        <v>0</v>
      </c>
    </row>
    <row r="86" spans="1:13" s="33" customFormat="1" ht="15" customHeight="1" thickBot="1" x14ac:dyDescent="0.3">
      <c r="A86" s="413" t="s">
        <v>31</v>
      </c>
      <c r="B86" s="414"/>
      <c r="C86" s="31">
        <f>SUM(C83:C85,C81,C70:C79)</f>
        <v>19966.91</v>
      </c>
      <c r="D86" s="31">
        <f>SUMPRODUCT(C69:C76,D69:D76)</f>
        <v>0</v>
      </c>
      <c r="E86" s="31"/>
      <c r="F86" s="31"/>
      <c r="G86" s="31"/>
      <c r="H86" s="244">
        <f>SUM(H83:H85,H81,H70:H79)</f>
        <v>14.884322035233621</v>
      </c>
      <c r="I86" s="244"/>
      <c r="J86" s="244"/>
      <c r="K86" s="244">
        <f ca="1">SUM(K83:K85,K81,K70:K79)</f>
        <v>76480.338499774836</v>
      </c>
      <c r="L86" s="244">
        <f ca="1">SUM(L83:L85,L81,L70:L79)</f>
        <v>2215.2409039602467</v>
      </c>
      <c r="M86" s="32">
        <f ca="1">SUM(M69:M76)</f>
        <v>21.169999999999998</v>
      </c>
    </row>
    <row r="87" spans="1:13" s="248" customFormat="1" ht="27.75" customHeight="1" x14ac:dyDescent="0.25">
      <c r="A87" s="456" t="s">
        <v>581</v>
      </c>
      <c r="B87" s="456"/>
      <c r="C87" s="456"/>
      <c r="D87" s="456"/>
      <c r="E87" s="456"/>
      <c r="F87" s="456"/>
      <c r="G87" s="456"/>
      <c r="H87" s="456"/>
      <c r="I87" s="456"/>
      <c r="J87" s="456"/>
      <c r="K87" s="456"/>
      <c r="L87" s="456"/>
      <c r="M87" s="456"/>
    </row>
    <row r="88" spans="1:13" s="248" customFormat="1" ht="8.1" customHeight="1" x14ac:dyDescent="0.25">
      <c r="A88" s="249"/>
      <c r="B88" s="249"/>
      <c r="C88" s="249"/>
      <c r="D88" s="249"/>
      <c r="E88" s="249"/>
      <c r="F88" s="249"/>
      <c r="G88" s="249"/>
      <c r="H88" s="249"/>
      <c r="I88" s="249"/>
      <c r="J88" s="249"/>
      <c r="K88" s="249"/>
      <c r="L88" s="249"/>
      <c r="M88" s="249"/>
    </row>
    <row r="89" spans="1:13" s="248" customFormat="1" ht="8.1" hidden="1" customHeight="1" thickBot="1" x14ac:dyDescent="0.3">
      <c r="A89" s="249"/>
      <c r="B89" s="249"/>
      <c r="C89" s="249"/>
      <c r="D89" s="249"/>
      <c r="E89" s="249"/>
      <c r="F89" s="249"/>
      <c r="G89" s="249"/>
      <c r="H89" s="249"/>
      <c r="I89" s="249"/>
      <c r="J89" s="249"/>
      <c r="K89" s="249"/>
      <c r="L89" s="249"/>
      <c r="M89" s="249"/>
    </row>
    <row r="90" spans="1:13" s="33" customFormat="1" ht="15" hidden="1" customHeight="1" collapsed="1" x14ac:dyDescent="0.25">
      <c r="A90" s="444" t="s">
        <v>37</v>
      </c>
      <c r="B90" s="445"/>
      <c r="C90" s="445"/>
      <c r="D90" s="445"/>
      <c r="E90" s="445"/>
      <c r="F90" s="445"/>
      <c r="G90" s="445"/>
      <c r="H90" s="445"/>
      <c r="I90" s="445"/>
      <c r="J90" s="445"/>
      <c r="K90" s="445"/>
      <c r="L90" s="445"/>
      <c r="M90" s="455"/>
    </row>
    <row r="91" spans="1:13" ht="30" hidden="1" customHeight="1" outlineLevel="1" x14ac:dyDescent="0.25">
      <c r="A91" s="417" t="s">
        <v>3</v>
      </c>
      <c r="B91" s="418"/>
      <c r="C91" s="27" t="s">
        <v>559</v>
      </c>
      <c r="D91" s="27" t="s">
        <v>560</v>
      </c>
      <c r="E91" s="245" t="s">
        <v>561</v>
      </c>
      <c r="F91" s="27" t="s">
        <v>578</v>
      </c>
      <c r="G91" s="27" t="s">
        <v>563</v>
      </c>
      <c r="H91" s="242" t="s">
        <v>564</v>
      </c>
      <c r="I91" s="242" t="s">
        <v>57</v>
      </c>
      <c r="J91" s="242" t="s">
        <v>565</v>
      </c>
      <c r="K91" s="242" t="s">
        <v>566</v>
      </c>
      <c r="L91" s="242" t="s">
        <v>579</v>
      </c>
      <c r="M91" s="29" t="s">
        <v>568</v>
      </c>
    </row>
    <row r="92" spans="1:13" ht="15" hidden="1" customHeight="1" outlineLevel="1" x14ac:dyDescent="0.25">
      <c r="A92" s="419" t="s">
        <v>8</v>
      </c>
      <c r="B92" s="420"/>
      <c r="C92" s="420"/>
      <c r="D92" s="420"/>
      <c r="E92" s="420"/>
      <c r="F92" s="420"/>
      <c r="G92" s="420"/>
      <c r="H92" s="420"/>
      <c r="I92" s="420"/>
      <c r="J92" s="420"/>
      <c r="K92" s="420"/>
      <c r="L92" s="420"/>
      <c r="M92" s="421"/>
    </row>
    <row r="93" spans="1:13" ht="15" hidden="1" customHeight="1" outlineLevel="2" x14ac:dyDescent="0.25">
      <c r="A93" s="262"/>
      <c r="B93" s="263" t="s">
        <v>9</v>
      </c>
      <c r="C93" s="28">
        <f>SUMIFS(tbAREAS[ÁREA EM M²],tbAREAS[TIPO DE ÁREA],PRODUTIVIDADES!B93,tbAREAS[LOCALIDADE],PRODUTIVIDADES!A$90)</f>
        <v>0</v>
      </c>
      <c r="D93" s="240" t="s">
        <v>569</v>
      </c>
      <c r="E93" s="388">
        <f t="shared" ref="E93:E102" si="24">(VALUE(RIGHT(D93,LEN(D93)-FIND(" - ",D93)-1))+VALUE(LEFT(D93,FIND(" - ",D93)-1)))/2</f>
        <v>675</v>
      </c>
      <c r="F93" s="241">
        <v>5.5</v>
      </c>
      <c r="G93" s="28">
        <v>5.5</v>
      </c>
      <c r="H93" s="243">
        <f>(C93*F93)/(E93*G93)</f>
        <v>0</v>
      </c>
      <c r="I93" s="243"/>
      <c r="J93" s="284">
        <f t="shared" ref="J93:J102" ca="1" si="25">IF(I93&lt;&gt;"",INDEX(INDIRECT(CONCATENATE("'",I93,"'!$1:$162")),MATCH("VALOR TOTAL DO POSTO",INDIRECT(CONCATENATE("'",I93,"'!$A:$A")),0),MATCH("00 - VALOR ESTIMADO",INDIRECT(CONCATENATE("'",I93,"'!$25:$25")),0)+1),0)</f>
        <v>0</v>
      </c>
      <c r="K93" s="284">
        <f t="shared" ref="K93:K102" ca="1" si="26">H93*J93</f>
        <v>0</v>
      </c>
      <c r="L93" s="284">
        <f t="shared" ref="L93:L102" ca="1" si="27">(H93/SUM($H$43,$H$65,$H$86,$H$109,$H$131))*$G$136</f>
        <v>0</v>
      </c>
      <c r="M93" s="30">
        <f t="shared" ref="M93:M102" si="28">IF(C93=0,0,TRUNC((K93+L93)/C93,2))</f>
        <v>0</v>
      </c>
    </row>
    <row r="94" spans="1:13" ht="15" hidden="1" customHeight="1" outlineLevel="2" x14ac:dyDescent="0.25">
      <c r="A94" s="262"/>
      <c r="B94" s="263" t="s">
        <v>10</v>
      </c>
      <c r="C94" s="28">
        <f>SUMIFS(tbAREAS[ÁREA EM M²],tbAREAS[TIPO DE ÁREA],PRODUTIVIDADES!B94,tbAREAS[LOCALIDADE],PRODUTIVIDADES!A$90)</f>
        <v>0</v>
      </c>
      <c r="D94" s="240" t="s">
        <v>569</v>
      </c>
      <c r="E94" s="388">
        <f t="shared" si="24"/>
        <v>675</v>
      </c>
      <c r="F94" s="241">
        <v>2</v>
      </c>
      <c r="G94" s="28">
        <v>5.5</v>
      </c>
      <c r="H94" s="243">
        <f t="shared" ref="H94:H102" si="29">(C94*F94)/(E94*G94)</f>
        <v>0</v>
      </c>
      <c r="I94" s="243"/>
      <c r="J94" s="284">
        <f t="shared" ca="1" si="25"/>
        <v>0</v>
      </c>
      <c r="K94" s="284">
        <f t="shared" ca="1" si="26"/>
        <v>0</v>
      </c>
      <c r="L94" s="284">
        <f t="shared" ca="1" si="27"/>
        <v>0</v>
      </c>
      <c r="M94" s="30">
        <f t="shared" si="28"/>
        <v>0</v>
      </c>
    </row>
    <row r="95" spans="1:13" ht="15" hidden="1" customHeight="1" outlineLevel="2" x14ac:dyDescent="0.25">
      <c r="A95" s="262"/>
      <c r="B95" s="263" t="s">
        <v>11</v>
      </c>
      <c r="C95" s="28">
        <f>SUMIFS(tbAREAS[ÁREA EM M²],tbAREAS[TIPO DE ÁREA],PRODUTIVIDADES!B95,tbAREAS[LOCALIDADE],PRODUTIVIDADES!A$90)</f>
        <v>0</v>
      </c>
      <c r="D95" s="240" t="s">
        <v>569</v>
      </c>
      <c r="E95" s="388">
        <f t="shared" si="24"/>
        <v>675</v>
      </c>
      <c r="F95" s="241">
        <v>2</v>
      </c>
      <c r="G95" s="28">
        <v>5.5</v>
      </c>
      <c r="H95" s="243">
        <f t="shared" si="29"/>
        <v>0</v>
      </c>
      <c r="I95" s="243"/>
      <c r="J95" s="284">
        <f t="shared" ca="1" si="25"/>
        <v>0</v>
      </c>
      <c r="K95" s="284">
        <f t="shared" ca="1" si="26"/>
        <v>0</v>
      </c>
      <c r="L95" s="284">
        <f t="shared" ca="1" si="27"/>
        <v>0</v>
      </c>
      <c r="M95" s="30">
        <f t="shared" si="28"/>
        <v>0</v>
      </c>
    </row>
    <row r="96" spans="1:13" ht="15" hidden="1" customHeight="1" outlineLevel="2" x14ac:dyDescent="0.25">
      <c r="A96" s="262"/>
      <c r="B96" s="263" t="s">
        <v>12</v>
      </c>
      <c r="C96" s="28">
        <f>SUMIFS(tbAREAS[ÁREA EM M²],tbAREAS[TIPO DE ÁREA],PRODUTIVIDADES!B96,tbAREAS[LOCALIDADE],PRODUTIVIDADES!A$90)</f>
        <v>0</v>
      </c>
      <c r="D96" s="240" t="s">
        <v>569</v>
      </c>
      <c r="E96" s="388">
        <f t="shared" si="24"/>
        <v>675</v>
      </c>
      <c r="F96" s="241">
        <v>2</v>
      </c>
      <c r="G96" s="28">
        <v>5.5</v>
      </c>
      <c r="H96" s="243">
        <f t="shared" si="29"/>
        <v>0</v>
      </c>
      <c r="I96" s="243"/>
      <c r="J96" s="284">
        <f t="shared" ca="1" si="25"/>
        <v>0</v>
      </c>
      <c r="K96" s="284">
        <f t="shared" ca="1" si="26"/>
        <v>0</v>
      </c>
      <c r="L96" s="284">
        <f t="shared" ca="1" si="27"/>
        <v>0</v>
      </c>
      <c r="M96" s="30">
        <f t="shared" si="28"/>
        <v>0</v>
      </c>
    </row>
    <row r="97" spans="1:13" ht="15" hidden="1" customHeight="1" outlineLevel="2" x14ac:dyDescent="0.25">
      <c r="A97" s="262"/>
      <c r="B97" s="263" t="s">
        <v>13</v>
      </c>
      <c r="C97" s="28">
        <f>SUMIFS(tbAREAS[ÁREA EM M²],tbAREAS[TIPO DE ÁREA],PRODUTIVIDADES!B97,tbAREAS[LOCALIDADE],PRODUTIVIDADES!A$90)</f>
        <v>0</v>
      </c>
      <c r="D97" s="240" t="s">
        <v>569</v>
      </c>
      <c r="E97" s="388">
        <f t="shared" si="24"/>
        <v>675</v>
      </c>
      <c r="F97" s="241">
        <v>2</v>
      </c>
      <c r="G97" s="28">
        <v>5.5</v>
      </c>
      <c r="H97" s="243">
        <f t="shared" si="29"/>
        <v>0</v>
      </c>
      <c r="I97" s="243"/>
      <c r="J97" s="284">
        <f t="shared" ca="1" si="25"/>
        <v>0</v>
      </c>
      <c r="K97" s="284">
        <f t="shared" ca="1" si="26"/>
        <v>0</v>
      </c>
      <c r="L97" s="284">
        <f t="shared" ca="1" si="27"/>
        <v>0</v>
      </c>
      <c r="M97" s="30">
        <f t="shared" si="28"/>
        <v>0</v>
      </c>
    </row>
    <row r="98" spans="1:13" ht="15" hidden="1" customHeight="1" outlineLevel="2" x14ac:dyDescent="0.25">
      <c r="A98" s="262"/>
      <c r="B98" s="263" t="s">
        <v>14</v>
      </c>
      <c r="C98" s="28">
        <f>SUMIFS(tbAREAS[ÁREA EM M²],tbAREAS[TIPO DE ÁREA],PRODUTIVIDADES!B98,tbAREAS[LOCALIDADE],PRODUTIVIDADES!A$90)</f>
        <v>0</v>
      </c>
      <c r="D98" s="240" t="s">
        <v>570</v>
      </c>
      <c r="E98" s="388">
        <f t="shared" si="24"/>
        <v>371.5</v>
      </c>
      <c r="F98" s="241">
        <v>3</v>
      </c>
      <c r="G98" s="28">
        <v>5.5</v>
      </c>
      <c r="H98" s="243">
        <f t="shared" si="29"/>
        <v>0</v>
      </c>
      <c r="I98" s="243"/>
      <c r="J98" s="284">
        <f t="shared" ca="1" si="25"/>
        <v>0</v>
      </c>
      <c r="K98" s="284">
        <f t="shared" ca="1" si="26"/>
        <v>0</v>
      </c>
      <c r="L98" s="284">
        <f t="shared" ca="1" si="27"/>
        <v>0</v>
      </c>
      <c r="M98" s="30">
        <f t="shared" si="28"/>
        <v>0</v>
      </c>
    </row>
    <row r="99" spans="1:13" ht="15" hidden="1" customHeight="1" outlineLevel="2" x14ac:dyDescent="0.25">
      <c r="A99" s="262"/>
      <c r="B99" s="263" t="s">
        <v>15</v>
      </c>
      <c r="C99" s="28">
        <f>SUMIFS(tbAREAS[ÁREA EM M²],tbAREAS[TIPO DE ÁREA],PRODUTIVIDADES!B99,tbAREAS[LOCALIDADE],PRODUTIVIDADES!A$90)</f>
        <v>0</v>
      </c>
      <c r="D99" s="240" t="s">
        <v>571</v>
      </c>
      <c r="E99" s="388">
        <f t="shared" si="24"/>
        <v>1519</v>
      </c>
      <c r="F99" s="241">
        <v>1</v>
      </c>
      <c r="G99" s="28">
        <v>5.5</v>
      </c>
      <c r="H99" s="243">
        <f t="shared" si="29"/>
        <v>0</v>
      </c>
      <c r="I99" s="243"/>
      <c r="J99" s="284">
        <f t="shared" ca="1" si="25"/>
        <v>0</v>
      </c>
      <c r="K99" s="284">
        <f t="shared" ca="1" si="26"/>
        <v>0</v>
      </c>
      <c r="L99" s="284">
        <f t="shared" ca="1" si="27"/>
        <v>0</v>
      </c>
      <c r="M99" s="30">
        <f t="shared" si="28"/>
        <v>0</v>
      </c>
    </row>
    <row r="100" spans="1:13" ht="15" hidden="1" customHeight="1" outlineLevel="2" x14ac:dyDescent="0.25">
      <c r="A100" s="264"/>
      <c r="B100" s="265" t="s">
        <v>16</v>
      </c>
      <c r="C100" s="28">
        <f>SUMIFS(tbAREAS[ÁREA EM M²],tbAREAS[TIPO DE ÁREA],PRODUTIVIDADES!B100,tbAREAS[LOCALIDADE],PRODUTIVIDADES!A$90)</f>
        <v>0</v>
      </c>
      <c r="D100" s="240" t="s">
        <v>572</v>
      </c>
      <c r="E100" s="388">
        <f t="shared" si="24"/>
        <v>1350</v>
      </c>
      <c r="F100" s="241">
        <v>1</v>
      </c>
      <c r="G100" s="28">
        <v>5.5</v>
      </c>
      <c r="H100" s="243">
        <f t="shared" si="29"/>
        <v>0</v>
      </c>
      <c r="I100" s="243"/>
      <c r="J100" s="284">
        <f t="shared" ca="1" si="25"/>
        <v>0</v>
      </c>
      <c r="K100" s="284">
        <f t="shared" ca="1" si="26"/>
        <v>0</v>
      </c>
      <c r="L100" s="284">
        <f t="shared" ca="1" si="27"/>
        <v>0</v>
      </c>
      <c r="M100" s="30">
        <f t="shared" si="28"/>
        <v>0</v>
      </c>
    </row>
    <row r="101" spans="1:13" ht="15" hidden="1" customHeight="1" outlineLevel="2" x14ac:dyDescent="0.25">
      <c r="A101" s="264"/>
      <c r="B101" s="265" t="s">
        <v>17</v>
      </c>
      <c r="C101" s="28">
        <f>SUMIFS(tbAREAS[ÁREA EM M²],tbAREAS[TIPO DE ÁREA],PRODUTIVIDADES!B101,tbAREAS[LOCALIDADE],PRODUTIVIDADES!A$90)</f>
        <v>0</v>
      </c>
      <c r="D101" s="240" t="s">
        <v>573</v>
      </c>
      <c r="E101" s="388">
        <f t="shared" si="24"/>
        <v>900</v>
      </c>
      <c r="F101" s="241">
        <v>3</v>
      </c>
      <c r="G101" s="28">
        <v>5.5</v>
      </c>
      <c r="H101" s="243">
        <f t="shared" si="29"/>
        <v>0</v>
      </c>
      <c r="I101" s="243"/>
      <c r="J101" s="284">
        <f t="shared" ca="1" si="25"/>
        <v>0</v>
      </c>
      <c r="K101" s="284">
        <f t="shared" ca="1" si="26"/>
        <v>0</v>
      </c>
      <c r="L101" s="284">
        <f t="shared" ca="1" si="27"/>
        <v>0</v>
      </c>
      <c r="M101" s="30">
        <f t="shared" si="28"/>
        <v>0</v>
      </c>
    </row>
    <row r="102" spans="1:13" ht="15" hidden="1" customHeight="1" outlineLevel="2" x14ac:dyDescent="0.25">
      <c r="A102" s="264"/>
      <c r="B102" s="265" t="s">
        <v>18</v>
      </c>
      <c r="C102" s="28">
        <f>SUMIFS(tbAREAS[ÁREA EM M²],tbAREAS[TIPO DE ÁREA],PRODUTIVIDADES!B102,tbAREAS[LOCALIDADE],PRODUTIVIDADES!A$90)</f>
        <v>0</v>
      </c>
      <c r="D102" s="240" t="s">
        <v>1228</v>
      </c>
      <c r="E102" s="388">
        <f t="shared" si="24"/>
        <v>265</v>
      </c>
      <c r="F102" s="241">
        <v>8.25</v>
      </c>
      <c r="G102" s="28">
        <v>5.5</v>
      </c>
      <c r="H102" s="243">
        <f t="shared" si="29"/>
        <v>0</v>
      </c>
      <c r="I102" s="243"/>
      <c r="J102" s="284">
        <f t="shared" ca="1" si="25"/>
        <v>0</v>
      </c>
      <c r="K102" s="284">
        <f t="shared" ca="1" si="26"/>
        <v>0</v>
      </c>
      <c r="L102" s="284">
        <f t="shared" ca="1" si="27"/>
        <v>0</v>
      </c>
      <c r="M102" s="30">
        <f t="shared" si="28"/>
        <v>0</v>
      </c>
    </row>
    <row r="103" spans="1:13" ht="15" hidden="1" customHeight="1" outlineLevel="1" collapsed="1" x14ac:dyDescent="0.25">
      <c r="A103" s="419" t="s">
        <v>19</v>
      </c>
      <c r="B103" s="420"/>
      <c r="C103" s="420"/>
      <c r="D103" s="420"/>
      <c r="E103" s="420"/>
      <c r="F103" s="420"/>
      <c r="G103" s="420"/>
      <c r="H103" s="420"/>
      <c r="I103" s="420"/>
      <c r="J103" s="420"/>
      <c r="K103" s="420"/>
      <c r="L103" s="420"/>
      <c r="M103" s="421"/>
    </row>
    <row r="104" spans="1:13" ht="15" hidden="1" customHeight="1" outlineLevel="2" x14ac:dyDescent="0.25">
      <c r="A104" s="264"/>
      <c r="B104" s="265" t="s">
        <v>20</v>
      </c>
      <c r="C104" s="28">
        <f>SUMIFS(tbAREAS[ÁREA EM M²],tbAREAS[TIPO DE ÁREA],PRODUTIVIDADES!B104,tbAREAS[LOCALIDADE],PRODUTIVIDADES!A$90)</f>
        <v>0</v>
      </c>
      <c r="D104" s="240" t="s">
        <v>572</v>
      </c>
      <c r="E104" s="246">
        <v>1500</v>
      </c>
      <c r="F104" s="241">
        <v>1</v>
      </c>
      <c r="G104" s="28">
        <v>5.5</v>
      </c>
      <c r="H104" s="243">
        <f>(C104*F104)/(E104*G104)</f>
        <v>0</v>
      </c>
      <c r="I104" s="243"/>
      <c r="J104" s="284">
        <f t="shared" ref="J104" ca="1" si="30">IF(I104&lt;&gt;"",INDEX(INDIRECT(CONCATENATE("'",I104,"'!$1:$162")),MATCH("VALOR TOTAL DO POSTO",INDIRECT(CONCATENATE("'",I104,"'!$A:$A")),0),MATCH("00 - VALOR ESTIMADO",INDIRECT(CONCATENATE("'",I104,"'!$25:$25")),0)+1),0)</f>
        <v>0</v>
      </c>
      <c r="K104" s="284">
        <f ca="1">H104*J104</f>
        <v>0</v>
      </c>
      <c r="L104" s="284">
        <f ca="1">(H104/SUM($H$43,$H$65,$H$86,$H$109,$H$131))*$G$136</f>
        <v>0</v>
      </c>
      <c r="M104" s="30">
        <f>IF(C104=0,0,TRUNC((K104+L104)/C104,2))</f>
        <v>0</v>
      </c>
    </row>
    <row r="105" spans="1:13" ht="15" hidden="1" customHeight="1" outlineLevel="1" collapsed="1" x14ac:dyDescent="0.25">
      <c r="A105" s="419" t="s">
        <v>1103</v>
      </c>
      <c r="B105" s="420"/>
      <c r="C105" s="420"/>
      <c r="D105" s="420"/>
      <c r="E105" s="420"/>
      <c r="F105" s="420"/>
      <c r="G105" s="420"/>
      <c r="H105" s="420"/>
      <c r="I105" s="420"/>
      <c r="J105" s="420"/>
      <c r="K105" s="420"/>
      <c r="L105" s="420"/>
      <c r="M105" s="421"/>
    </row>
    <row r="106" spans="1:13" ht="15" hidden="1" customHeight="1" outlineLevel="2" x14ac:dyDescent="0.25">
      <c r="A106" s="264"/>
      <c r="B106" s="265" t="s">
        <v>21</v>
      </c>
      <c r="C106" s="28">
        <f>SUMIFS(tbAREAS[ÁREA EM M²],tbAREAS[TIPO DE ÁREA],PRODUTIVIDADES!B106,tbAREAS[LOCALIDADE],PRODUTIVIDADES!A$90)</f>
        <v>0</v>
      </c>
      <c r="D106" s="240" t="s">
        <v>574</v>
      </c>
      <c r="E106" s="246">
        <v>275</v>
      </c>
      <c r="F106" s="241">
        <v>0.04</v>
      </c>
      <c r="G106" s="28">
        <v>5</v>
      </c>
      <c r="H106" s="243">
        <f>(C106*F106)/(E106*G106)</f>
        <v>0</v>
      </c>
      <c r="I106" s="243"/>
      <c r="J106" s="284">
        <f t="shared" ref="J106:J108" ca="1" si="31">IF(I106&lt;&gt;"",INDEX(INDIRECT(CONCATENATE("'",I106,"'!$1:$162")),MATCH("VALOR TOTAL DO POSTO",INDIRECT(CONCATENATE("'",I106,"'!$A:$A")),0),MATCH("00 - VALOR ESTIMADO",INDIRECT(CONCATENATE("'",I106,"'!$25:$25")),0)+1),0)</f>
        <v>0</v>
      </c>
      <c r="K106" s="284">
        <f ca="1">H106*J106</f>
        <v>0</v>
      </c>
      <c r="L106" s="284">
        <f ca="1">(H106/SUM($H$43,$H$65,$H$86,$H$109,$H$131))*$G$136</f>
        <v>0</v>
      </c>
      <c r="M106" s="30">
        <f>IF(C106=0,0,TRUNC((K106+L106)/C106,2))</f>
        <v>0</v>
      </c>
    </row>
    <row r="107" spans="1:13" ht="15" hidden="1" customHeight="1" outlineLevel="2" x14ac:dyDescent="0.25">
      <c r="A107" s="264"/>
      <c r="B107" s="265" t="s">
        <v>22</v>
      </c>
      <c r="C107" s="28">
        <f>SUMIFS(tbAREAS[ÁREA EM M²],tbAREAS[TIPO DE ÁREA],PRODUTIVIDADES!B107,tbAREAS[LOCALIDADE],PRODUTIVIDADES!A$90)</f>
        <v>0</v>
      </c>
      <c r="D107" s="240" t="s">
        <v>575</v>
      </c>
      <c r="E107" s="246">
        <v>138</v>
      </c>
      <c r="F107" s="241">
        <v>0.04</v>
      </c>
      <c r="G107" s="28">
        <v>5</v>
      </c>
      <c r="H107" s="243">
        <f>(C107*F107)/(E107*G107)</f>
        <v>0</v>
      </c>
      <c r="I107" s="243"/>
      <c r="J107" s="284">
        <f t="shared" ca="1" si="31"/>
        <v>0</v>
      </c>
      <c r="K107" s="284">
        <f ca="1">H107*J107</f>
        <v>0</v>
      </c>
      <c r="L107" s="284">
        <f ca="1">(H107/SUM($H$43,$H$65,$H$86,$H$109,$H$131))*$G$136</f>
        <v>0</v>
      </c>
      <c r="M107" s="30">
        <f>IF(C107=0,0,TRUNC((K107+L107)/C107,2))</f>
        <v>0</v>
      </c>
    </row>
    <row r="108" spans="1:13" ht="15" hidden="1" customHeight="1" outlineLevel="2" x14ac:dyDescent="0.25">
      <c r="A108" s="264"/>
      <c r="B108" s="265" t="s">
        <v>23</v>
      </c>
      <c r="C108" s="28">
        <f>SUMIFS(tbAREAS[ÁREA EM M²],tbAREAS[TIPO DE ÁREA],PRODUTIVIDADES!B108,tbAREAS[LOCALIDADE],PRODUTIVIDADES!A$67)</f>
        <v>0</v>
      </c>
      <c r="D108" s="240" t="s">
        <v>575</v>
      </c>
      <c r="E108" s="246">
        <v>138</v>
      </c>
      <c r="F108" s="241">
        <v>0.04</v>
      </c>
      <c r="G108" s="28">
        <v>5</v>
      </c>
      <c r="H108" s="243">
        <f>(C108*F108)/(E108*G108)</f>
        <v>0</v>
      </c>
      <c r="I108" s="243"/>
      <c r="J108" s="284">
        <f t="shared" ca="1" si="31"/>
        <v>0</v>
      </c>
      <c r="K108" s="284">
        <f ca="1">H108*J108</f>
        <v>0</v>
      </c>
      <c r="L108" s="284">
        <f ca="1">(H108/SUM($H$43,$H$65,$H$86,$H$109,$H$131))*$G$136</f>
        <v>0</v>
      </c>
      <c r="M108" s="30">
        <f>IF(C108=0,0,TRUNC((K108+L108)/C108,2))</f>
        <v>0</v>
      </c>
    </row>
    <row r="109" spans="1:13" ht="15" hidden="1" customHeight="1" thickBot="1" x14ac:dyDescent="0.3">
      <c r="A109" s="413" t="s">
        <v>31</v>
      </c>
      <c r="B109" s="414"/>
      <c r="C109" s="31">
        <f>SUM(C106:C108,C104,C93:C102)</f>
        <v>0</v>
      </c>
      <c r="D109" s="31">
        <f>SUMPRODUCT(C92:C99,D92:D99)</f>
        <v>0</v>
      </c>
      <c r="E109" s="31"/>
      <c r="F109" s="31"/>
      <c r="G109" s="31"/>
      <c r="H109" s="244">
        <f>SUM(H106:H108,H104,H93:H102)</f>
        <v>0</v>
      </c>
      <c r="I109" s="244"/>
      <c r="J109" s="244"/>
      <c r="K109" s="244">
        <f ca="1">SUM(K106:K108,K104,K93:K102)</f>
        <v>0</v>
      </c>
      <c r="L109" s="244">
        <f ca="1">SUM(L106:L108,L104,L93:L102)</f>
        <v>0</v>
      </c>
      <c r="M109" s="32">
        <f>SUM(M92:M99)</f>
        <v>0</v>
      </c>
    </row>
    <row r="110" spans="1:13" s="225" customFormat="1" ht="45" hidden="1" customHeight="1" thickBot="1" x14ac:dyDescent="0.3">
      <c r="A110" s="453" t="s">
        <v>581</v>
      </c>
      <c r="B110" s="453"/>
      <c r="C110" s="453"/>
      <c r="D110" s="453"/>
      <c r="E110" s="453"/>
      <c r="F110" s="453"/>
      <c r="G110" s="453"/>
      <c r="H110" s="453"/>
      <c r="I110" s="453"/>
      <c r="J110" s="453"/>
      <c r="K110" s="453"/>
      <c r="L110" s="453"/>
      <c r="M110" s="453"/>
    </row>
    <row r="111" spans="1:13" s="248" customFormat="1" ht="8.1" customHeight="1" thickBot="1" x14ac:dyDescent="0.3">
      <c r="A111" s="386"/>
      <c r="B111" s="386"/>
      <c r="C111" s="386"/>
      <c r="D111" s="386"/>
      <c r="E111" s="386"/>
      <c r="F111" s="386"/>
      <c r="G111" s="386"/>
      <c r="H111" s="386"/>
      <c r="I111" s="386"/>
      <c r="J111" s="386"/>
      <c r="K111" s="386"/>
      <c r="L111" s="386"/>
      <c r="M111" s="386"/>
    </row>
    <row r="112" spans="1:13" ht="15" customHeight="1" x14ac:dyDescent="0.25">
      <c r="A112" s="444" t="s">
        <v>38</v>
      </c>
      <c r="B112" s="445"/>
      <c r="C112" s="445"/>
      <c r="D112" s="445"/>
      <c r="E112" s="445"/>
      <c r="F112" s="445"/>
      <c r="G112" s="445"/>
      <c r="H112" s="445"/>
      <c r="I112" s="446"/>
      <c r="J112" s="447"/>
      <c r="K112" s="448"/>
      <c r="L112" s="448"/>
      <c r="M112" s="449"/>
    </row>
    <row r="113" spans="1:13" ht="30" customHeight="1" outlineLevel="1" x14ac:dyDescent="0.25">
      <c r="A113" s="417" t="s">
        <v>3</v>
      </c>
      <c r="B113" s="418"/>
      <c r="C113" s="27" t="s">
        <v>559</v>
      </c>
      <c r="D113" s="27" t="s">
        <v>560</v>
      </c>
      <c r="E113" s="245" t="s">
        <v>561</v>
      </c>
      <c r="F113" s="27" t="s">
        <v>578</v>
      </c>
      <c r="G113" s="27" t="s">
        <v>563</v>
      </c>
      <c r="H113" s="242" t="s">
        <v>564</v>
      </c>
      <c r="I113" s="242" t="s">
        <v>57</v>
      </c>
      <c r="J113" s="242" t="s">
        <v>565</v>
      </c>
      <c r="K113" s="242" t="s">
        <v>566</v>
      </c>
      <c r="L113" s="242" t="s">
        <v>579</v>
      </c>
      <c r="M113" s="29" t="s">
        <v>568</v>
      </c>
    </row>
    <row r="114" spans="1:13" ht="15" customHeight="1" outlineLevel="1" x14ac:dyDescent="0.25">
      <c r="A114" s="419" t="s">
        <v>8</v>
      </c>
      <c r="B114" s="420"/>
      <c r="C114" s="420"/>
      <c r="D114" s="420"/>
      <c r="E114" s="420"/>
      <c r="F114" s="420"/>
      <c r="G114" s="420"/>
      <c r="H114" s="420"/>
      <c r="I114" s="420"/>
      <c r="J114" s="420"/>
      <c r="K114" s="420"/>
      <c r="L114" s="420"/>
      <c r="M114" s="421"/>
    </row>
    <row r="115" spans="1:13" ht="15" customHeight="1" outlineLevel="2" x14ac:dyDescent="0.25">
      <c r="A115" s="262"/>
      <c r="B115" s="263" t="s">
        <v>9</v>
      </c>
      <c r="C115" s="28">
        <f>SUMIFS(tbAREAS[ÁREA EM M²],tbAREAS[TIPO DE ÁREA],PRODUTIVIDADES!B115,tbAREAS[LOCALIDADE],PRODUTIVIDADES!A$112)</f>
        <v>0</v>
      </c>
      <c r="D115" s="240" t="s">
        <v>569</v>
      </c>
      <c r="E115" s="388">
        <f t="shared" ref="E115:E124" si="32">(VALUE(RIGHT(D115,LEN(D115)-FIND(" - ",D115)-1))+VALUE(LEFT(D115,FIND(" - ",D115)-1)))/2</f>
        <v>675</v>
      </c>
      <c r="F115" s="241">
        <v>5.5</v>
      </c>
      <c r="G115" s="28">
        <v>5.5</v>
      </c>
      <c r="H115" s="243">
        <f>(C115*F115)/(E115*G115)</f>
        <v>0</v>
      </c>
      <c r="I115" s="243"/>
      <c r="J115" s="284">
        <f t="shared" ref="J115:J124" ca="1" si="33">IF(I115&lt;&gt;"",INDEX(INDIRECT(CONCATENATE("'",I115,"'!$1:$162")),MATCH("VALOR TOTAL DO POSTO",INDIRECT(CONCATENATE("'",I115,"'!$A:$A")),0),MATCH(J$3,INDIRECT(CONCATENATE("'",I115,"'!$25:$25")),0)+1),0)</f>
        <v>0</v>
      </c>
      <c r="K115" s="284">
        <f t="shared" ref="K115:K124" ca="1" si="34">H115*J115</f>
        <v>0</v>
      </c>
      <c r="L115" s="284">
        <f t="shared" ref="L115:L124" ca="1" si="35">(H115/SUM($H$43,$H$65,$H$86,$H$109,$H$131))*$G$136</f>
        <v>0</v>
      </c>
      <c r="M115" s="30">
        <f t="shared" ref="M115:M124" si="36">IF(C115=0,0,TRUNC((K115+L115)/C115,2))</f>
        <v>0</v>
      </c>
    </row>
    <row r="116" spans="1:13" ht="15" customHeight="1" outlineLevel="2" x14ac:dyDescent="0.25">
      <c r="A116" s="262"/>
      <c r="B116" s="263" t="s">
        <v>10</v>
      </c>
      <c r="C116" s="28">
        <f>SUMIFS(tbAREAS[ÁREA EM M²],tbAREAS[TIPO DE ÁREA],PRODUTIVIDADES!B116,tbAREAS[LOCALIDADE],PRODUTIVIDADES!A$112)</f>
        <v>0</v>
      </c>
      <c r="D116" s="240" t="s">
        <v>569</v>
      </c>
      <c r="E116" s="388">
        <f t="shared" si="32"/>
        <v>675</v>
      </c>
      <c r="F116" s="241">
        <v>2</v>
      </c>
      <c r="G116" s="28">
        <v>5.5</v>
      </c>
      <c r="H116" s="243">
        <f t="shared" ref="H116:H124" si="37">(C116*F116)/(E116*G116)</f>
        <v>0</v>
      </c>
      <c r="I116" s="243"/>
      <c r="J116" s="284">
        <f t="shared" ca="1" si="33"/>
        <v>0</v>
      </c>
      <c r="K116" s="284">
        <f t="shared" ca="1" si="34"/>
        <v>0</v>
      </c>
      <c r="L116" s="284">
        <f t="shared" ca="1" si="35"/>
        <v>0</v>
      </c>
      <c r="M116" s="30">
        <f t="shared" si="36"/>
        <v>0</v>
      </c>
    </row>
    <row r="117" spans="1:13" ht="15" customHeight="1" outlineLevel="2" x14ac:dyDescent="0.25">
      <c r="A117" s="262"/>
      <c r="B117" s="263" t="s">
        <v>11</v>
      </c>
      <c r="C117" s="28">
        <f>SUMIFS(tbAREAS[ÁREA EM M²],tbAREAS[TIPO DE ÁREA],PRODUTIVIDADES!B117,tbAREAS[LOCALIDADE],PRODUTIVIDADES!A$112)</f>
        <v>0</v>
      </c>
      <c r="D117" s="240" t="s">
        <v>569</v>
      </c>
      <c r="E117" s="388">
        <f t="shared" si="32"/>
        <v>675</v>
      </c>
      <c r="F117" s="241">
        <v>2</v>
      </c>
      <c r="G117" s="28">
        <v>5.5</v>
      </c>
      <c r="H117" s="243">
        <f t="shared" si="37"/>
        <v>0</v>
      </c>
      <c r="I117" s="243"/>
      <c r="J117" s="284">
        <f t="shared" ca="1" si="33"/>
        <v>0</v>
      </c>
      <c r="K117" s="284">
        <f t="shared" ca="1" si="34"/>
        <v>0</v>
      </c>
      <c r="L117" s="284">
        <f t="shared" ca="1" si="35"/>
        <v>0</v>
      </c>
      <c r="M117" s="30">
        <f t="shared" si="36"/>
        <v>0</v>
      </c>
    </row>
    <row r="118" spans="1:13" ht="15" customHeight="1" outlineLevel="2" x14ac:dyDescent="0.25">
      <c r="A118" s="262"/>
      <c r="B118" s="263" t="s">
        <v>12</v>
      </c>
      <c r="C118" s="28">
        <f>SUMIFS(tbAREAS[ÁREA EM M²],tbAREAS[TIPO DE ÁREA],PRODUTIVIDADES!B118,tbAREAS[LOCALIDADE],PRODUTIVIDADES!A$112)</f>
        <v>0</v>
      </c>
      <c r="D118" s="240" t="s">
        <v>569</v>
      </c>
      <c r="E118" s="388">
        <f t="shared" si="32"/>
        <v>675</v>
      </c>
      <c r="F118" s="241">
        <v>2</v>
      </c>
      <c r="G118" s="28">
        <v>5.5</v>
      </c>
      <c r="H118" s="243">
        <f t="shared" si="37"/>
        <v>0</v>
      </c>
      <c r="I118" s="243"/>
      <c r="J118" s="284">
        <f t="shared" ca="1" si="33"/>
        <v>0</v>
      </c>
      <c r="K118" s="284">
        <f t="shared" ca="1" si="34"/>
        <v>0</v>
      </c>
      <c r="L118" s="284">
        <f t="shared" ca="1" si="35"/>
        <v>0</v>
      </c>
      <c r="M118" s="30">
        <f t="shared" si="36"/>
        <v>0</v>
      </c>
    </row>
    <row r="119" spans="1:13" ht="15" customHeight="1" outlineLevel="2" x14ac:dyDescent="0.25">
      <c r="A119" s="262"/>
      <c r="B119" s="263" t="s">
        <v>13</v>
      </c>
      <c r="C119" s="28">
        <f>SUMIFS(tbAREAS[ÁREA EM M²],tbAREAS[TIPO DE ÁREA],PRODUTIVIDADES!B119,tbAREAS[LOCALIDADE],PRODUTIVIDADES!A$112)</f>
        <v>0</v>
      </c>
      <c r="D119" s="240" t="s">
        <v>569</v>
      </c>
      <c r="E119" s="388">
        <f t="shared" si="32"/>
        <v>675</v>
      </c>
      <c r="F119" s="241">
        <v>2</v>
      </c>
      <c r="G119" s="28">
        <v>5.5</v>
      </c>
      <c r="H119" s="243">
        <f t="shared" si="37"/>
        <v>0</v>
      </c>
      <c r="I119" s="243"/>
      <c r="J119" s="284">
        <f t="shared" ca="1" si="33"/>
        <v>0</v>
      </c>
      <c r="K119" s="284">
        <f t="shared" ca="1" si="34"/>
        <v>0</v>
      </c>
      <c r="L119" s="284">
        <f t="shared" ca="1" si="35"/>
        <v>0</v>
      </c>
      <c r="M119" s="30">
        <f t="shared" si="36"/>
        <v>0</v>
      </c>
    </row>
    <row r="120" spans="1:13" ht="15" customHeight="1" outlineLevel="2" x14ac:dyDescent="0.25">
      <c r="A120" s="262"/>
      <c r="B120" s="263" t="s">
        <v>14</v>
      </c>
      <c r="C120" s="28">
        <f>SUMIFS(tbAREAS[ÁREA EM M²],tbAREAS[TIPO DE ÁREA],PRODUTIVIDADES!B120,tbAREAS[LOCALIDADE],PRODUTIVIDADES!A$112)</f>
        <v>0</v>
      </c>
      <c r="D120" s="240" t="s">
        <v>570</v>
      </c>
      <c r="E120" s="388">
        <f t="shared" si="32"/>
        <v>371.5</v>
      </c>
      <c r="F120" s="241">
        <v>3</v>
      </c>
      <c r="G120" s="28">
        <v>5.5</v>
      </c>
      <c r="H120" s="243">
        <f t="shared" si="37"/>
        <v>0</v>
      </c>
      <c r="I120" s="243"/>
      <c r="J120" s="284">
        <f t="shared" ca="1" si="33"/>
        <v>0</v>
      </c>
      <c r="K120" s="284">
        <f t="shared" ca="1" si="34"/>
        <v>0</v>
      </c>
      <c r="L120" s="284">
        <f t="shared" ca="1" si="35"/>
        <v>0</v>
      </c>
      <c r="M120" s="30">
        <f t="shared" si="36"/>
        <v>0</v>
      </c>
    </row>
    <row r="121" spans="1:13" ht="15" customHeight="1" outlineLevel="2" x14ac:dyDescent="0.25">
      <c r="A121" s="262"/>
      <c r="B121" s="263" t="s">
        <v>15</v>
      </c>
      <c r="C121" s="28">
        <f>SUMIFS(tbAREAS[ÁREA EM M²],tbAREAS[TIPO DE ÁREA],PRODUTIVIDADES!B121,tbAREAS[LOCALIDADE],PRODUTIVIDADES!A$112)</f>
        <v>0</v>
      </c>
      <c r="D121" s="240" t="s">
        <v>571</v>
      </c>
      <c r="E121" s="388">
        <f t="shared" si="32"/>
        <v>1519</v>
      </c>
      <c r="F121" s="241">
        <v>1</v>
      </c>
      <c r="G121" s="28">
        <v>5.5</v>
      </c>
      <c r="H121" s="243">
        <f t="shared" si="37"/>
        <v>0</v>
      </c>
      <c r="I121" s="243"/>
      <c r="J121" s="284">
        <f t="shared" ca="1" si="33"/>
        <v>0</v>
      </c>
      <c r="K121" s="284">
        <f t="shared" ca="1" si="34"/>
        <v>0</v>
      </c>
      <c r="L121" s="284">
        <f t="shared" ca="1" si="35"/>
        <v>0</v>
      </c>
      <c r="M121" s="30">
        <f t="shared" si="36"/>
        <v>0</v>
      </c>
    </row>
    <row r="122" spans="1:13" ht="15" customHeight="1" outlineLevel="2" x14ac:dyDescent="0.25">
      <c r="A122" s="264"/>
      <c r="B122" s="265" t="s">
        <v>16</v>
      </c>
      <c r="C122" s="28">
        <f>SUMIFS(tbAREAS[ÁREA EM M²],tbAREAS[TIPO DE ÁREA],PRODUTIVIDADES!B122,tbAREAS[LOCALIDADE],PRODUTIVIDADES!A$112)</f>
        <v>0</v>
      </c>
      <c r="D122" s="240" t="s">
        <v>572</v>
      </c>
      <c r="E122" s="388">
        <f t="shared" si="32"/>
        <v>1350</v>
      </c>
      <c r="F122" s="241">
        <v>1</v>
      </c>
      <c r="G122" s="28">
        <v>5.5</v>
      </c>
      <c r="H122" s="243">
        <f t="shared" si="37"/>
        <v>0</v>
      </c>
      <c r="I122" s="243"/>
      <c r="J122" s="284">
        <f t="shared" ca="1" si="33"/>
        <v>0</v>
      </c>
      <c r="K122" s="284">
        <f t="shared" ca="1" si="34"/>
        <v>0</v>
      </c>
      <c r="L122" s="284">
        <f t="shared" ca="1" si="35"/>
        <v>0</v>
      </c>
      <c r="M122" s="30">
        <f t="shared" si="36"/>
        <v>0</v>
      </c>
    </row>
    <row r="123" spans="1:13" ht="15" customHeight="1" outlineLevel="2" x14ac:dyDescent="0.25">
      <c r="A123" s="264"/>
      <c r="B123" s="265" t="s">
        <v>17</v>
      </c>
      <c r="C123" s="28">
        <f>SUMIFS(tbAREAS[ÁREA EM M²],tbAREAS[TIPO DE ÁREA],PRODUTIVIDADES!B123,tbAREAS[LOCALIDADE],PRODUTIVIDADES!A$112)</f>
        <v>0</v>
      </c>
      <c r="D123" s="240" t="s">
        <v>573</v>
      </c>
      <c r="E123" s="388">
        <f t="shared" si="32"/>
        <v>900</v>
      </c>
      <c r="F123" s="241">
        <v>3</v>
      </c>
      <c r="G123" s="28">
        <v>5.5</v>
      </c>
      <c r="H123" s="243">
        <f t="shared" si="37"/>
        <v>0</v>
      </c>
      <c r="I123" s="243"/>
      <c r="J123" s="284">
        <f t="shared" ca="1" si="33"/>
        <v>0</v>
      </c>
      <c r="K123" s="284">
        <f t="shared" ca="1" si="34"/>
        <v>0</v>
      </c>
      <c r="L123" s="284">
        <f t="shared" ca="1" si="35"/>
        <v>0</v>
      </c>
      <c r="M123" s="30">
        <f t="shared" si="36"/>
        <v>0</v>
      </c>
    </row>
    <row r="124" spans="1:13" ht="15" customHeight="1" outlineLevel="2" x14ac:dyDescent="0.25">
      <c r="A124" s="264"/>
      <c r="B124" s="265" t="s">
        <v>18</v>
      </c>
      <c r="C124" s="28">
        <f>SUMIFS(tbAREAS[ÁREA EM M²],tbAREAS[TIPO DE ÁREA],PRODUTIVIDADES!B124,tbAREAS[LOCALIDADE],PRODUTIVIDADES!A$112)</f>
        <v>0</v>
      </c>
      <c r="D124" s="240" t="s">
        <v>1228</v>
      </c>
      <c r="E124" s="388">
        <f t="shared" si="32"/>
        <v>265</v>
      </c>
      <c r="F124" s="241">
        <v>8.25</v>
      </c>
      <c r="G124" s="28">
        <v>5.5</v>
      </c>
      <c r="H124" s="243">
        <f t="shared" si="37"/>
        <v>0</v>
      </c>
      <c r="I124" s="243"/>
      <c r="J124" s="284">
        <f t="shared" ca="1" si="33"/>
        <v>0</v>
      </c>
      <c r="K124" s="284">
        <f t="shared" ca="1" si="34"/>
        <v>0</v>
      </c>
      <c r="L124" s="284">
        <f t="shared" ca="1" si="35"/>
        <v>0</v>
      </c>
      <c r="M124" s="30">
        <f t="shared" si="36"/>
        <v>0</v>
      </c>
    </row>
    <row r="125" spans="1:13" ht="15" customHeight="1" outlineLevel="1" x14ac:dyDescent="0.25">
      <c r="A125" s="419" t="s">
        <v>19</v>
      </c>
      <c r="B125" s="420"/>
      <c r="C125" s="420"/>
      <c r="D125" s="420"/>
      <c r="E125" s="420"/>
      <c r="F125" s="420"/>
      <c r="G125" s="420"/>
      <c r="H125" s="420"/>
      <c r="I125" s="420"/>
      <c r="J125" s="420"/>
      <c r="K125" s="420"/>
      <c r="L125" s="420"/>
      <c r="M125" s="421"/>
    </row>
    <row r="126" spans="1:13" ht="15" customHeight="1" outlineLevel="2" x14ac:dyDescent="0.25">
      <c r="A126" s="264"/>
      <c r="B126" s="265" t="s">
        <v>20</v>
      </c>
      <c r="C126" s="28">
        <f>SUMIFS(tbAREAS[ÁREA EM M²],tbAREAS[TIPO DE ÁREA],PRODUTIVIDADES!B126,tbAREAS[LOCALIDADE],PRODUTIVIDADES!A$112)</f>
        <v>0</v>
      </c>
      <c r="D126" s="240" t="s">
        <v>572</v>
      </c>
      <c r="E126" s="388">
        <f>(VALUE(RIGHT(D126,LEN(D126)-FIND(" - ",D126)-1))+VALUE(LEFT(D126,FIND(" - ",D126)-1)))/2</f>
        <v>1350</v>
      </c>
      <c r="F126" s="241">
        <v>1</v>
      </c>
      <c r="G126" s="28">
        <v>5.5</v>
      </c>
      <c r="H126" s="243">
        <f>(C126*F126)/(E126*G126)</f>
        <v>0</v>
      </c>
      <c r="I126" s="243"/>
      <c r="J126" s="284">
        <f ca="1">IF(I126&lt;&gt;"",INDEX(INDIRECT(CONCATENATE("'",I126,"'!$1:$162")),MATCH("VALOR TOTAL DO POSTO",INDIRECT(CONCATENATE("'",I126,"'!$A:$A")),0),MATCH(J$3,INDIRECT(CONCATENATE("'",I126,"'!$25:$25")),0)+1),0)</f>
        <v>0</v>
      </c>
      <c r="K126" s="284">
        <f ca="1">H126*J126</f>
        <v>0</v>
      </c>
      <c r="L126" s="284">
        <f ca="1">(H126/SUM($H$43,$H$65,$H$86,$H$109,$H$131))*$G$136</f>
        <v>0</v>
      </c>
      <c r="M126" s="30">
        <f>IF(C126=0,0,TRUNC((K126+L126)/C126,2))</f>
        <v>0</v>
      </c>
    </row>
    <row r="127" spans="1:13" ht="15" customHeight="1" outlineLevel="1" x14ac:dyDescent="0.25">
      <c r="A127" s="419" t="s">
        <v>1103</v>
      </c>
      <c r="B127" s="420"/>
      <c r="C127" s="420"/>
      <c r="D127" s="420"/>
      <c r="E127" s="420"/>
      <c r="F127" s="420"/>
      <c r="G127" s="420"/>
      <c r="H127" s="420"/>
      <c r="I127" s="420"/>
      <c r="J127" s="420"/>
      <c r="K127" s="420"/>
      <c r="L127" s="420"/>
      <c r="M127" s="421"/>
    </row>
    <row r="128" spans="1:13" ht="15" customHeight="1" outlineLevel="2" x14ac:dyDescent="0.25">
      <c r="A128" s="264"/>
      <c r="B128" s="265" t="s">
        <v>21</v>
      </c>
      <c r="C128" s="28">
        <f>SUMIFS(tbAREAS[ÁREA EM M²],tbAREAS[TIPO DE ÁREA],PRODUTIVIDADES!B128,tbAREAS[LOCALIDADE],PRODUTIVIDADES!A$112)</f>
        <v>691.05</v>
      </c>
      <c r="D128" s="240" t="s">
        <v>574</v>
      </c>
      <c r="E128" s="388">
        <f>(VALUE(RIGHT(D128,LEN(D128)-FIND(" - ",D128)-1))+VALUE(LEFT(D128,FIND(" - ",D128)-1)))/2</f>
        <v>237.5</v>
      </c>
      <c r="F128" s="241">
        <v>0.04</v>
      </c>
      <c r="G128" s="28">
        <v>5</v>
      </c>
      <c r="H128" s="243">
        <f>(C128*F128)/(E128*G128)</f>
        <v>2.3277473684210525E-2</v>
      </c>
      <c r="I128" s="259" t="s">
        <v>63</v>
      </c>
      <c r="J128" s="284">
        <f ca="1">IF(I128&lt;&gt;"",INDEX(INDIRECT(CONCATENATE("'",I128,"'!$1:$162")),MATCH("VALOR TOTAL DO POSTO",INDIRECT(CONCATENATE("'",I128,"'!$A:$A")),0),MATCH(J$3,INDIRECT(CONCATENATE("'",I128,"'!$25:$25")),0)+1),0)</f>
        <v>5073.5200000000004</v>
      </c>
      <c r="K128" s="284">
        <f ca="1">H128*J128</f>
        <v>118.09872828631579</v>
      </c>
      <c r="L128" s="284">
        <f ca="1">(H128/SUM($H$43,$H$65,$H$86,$H$109,$H$131))*$G$136</f>
        <v>3.4643977551720599</v>
      </c>
      <c r="M128" s="30">
        <f ca="1">IF(C128=0,0,TRUNC((K128+L128)/C128,2))</f>
        <v>0.17</v>
      </c>
    </row>
    <row r="129" spans="1:32" ht="15" customHeight="1" outlineLevel="2" x14ac:dyDescent="0.25">
      <c r="A129" s="264"/>
      <c r="B129" s="265" t="s">
        <v>22</v>
      </c>
      <c r="C129" s="28">
        <f>SUMIFS(tbAREAS[ÁREA EM M²],tbAREAS[TIPO DE ÁREA],PRODUTIVIDADES!B129,tbAREAS[LOCALIDADE],PRODUTIVIDADES!A$112)</f>
        <v>691.05</v>
      </c>
      <c r="D129" s="240" t="s">
        <v>575</v>
      </c>
      <c r="E129" s="388">
        <f>(VALUE(RIGHT(D129,LEN(D129)-FIND(" - ",D129)-1))+VALUE(LEFT(D129,FIND(" - ",D129)-1)))/2</f>
        <v>124</v>
      </c>
      <c r="F129" s="241">
        <v>0.04</v>
      </c>
      <c r="G129" s="28">
        <v>5</v>
      </c>
      <c r="H129" s="243">
        <f>(C129*F129)/(E129*G129)</f>
        <v>4.4583870967741933E-2</v>
      </c>
      <c r="I129" s="259" t="s">
        <v>576</v>
      </c>
      <c r="J129" s="284">
        <f ca="1">IF(I129&lt;&gt;"",INDEX(INDIRECT(CONCATENATE("'",I129,"'!$1:$162")),MATCH("VALOR TOTAL DO POSTO",INDIRECT(CONCATENATE("'",I129,"'!$A:$A")),0),MATCH(J$3,INDIRECT(CONCATENATE("'",I129,"'!$25:$25")),0)+1),0)</f>
        <v>6158.44</v>
      </c>
      <c r="K129" s="284">
        <f ca="1">H129*J129</f>
        <v>274.5670943225806</v>
      </c>
      <c r="L129" s="284">
        <f ca="1">(H129/SUM($H$43,$H$65,$H$86,$H$109,$H$131))*$G$136</f>
        <v>6.6354392488174527</v>
      </c>
      <c r="M129" s="30">
        <f ca="1">IF(C129=0,0,TRUNC((K129+L129)/C129,2))</f>
        <v>0.4</v>
      </c>
    </row>
    <row r="130" spans="1:32" ht="15" customHeight="1" outlineLevel="2" x14ac:dyDescent="0.25">
      <c r="A130" s="264"/>
      <c r="B130" s="265" t="s">
        <v>23</v>
      </c>
      <c r="C130" s="28">
        <f>SUMIFS(tbAREAS[ÁREA EM M²],tbAREAS[TIPO DE ÁREA],PRODUTIVIDADES!B130,tbAREAS[LOCALIDADE],PRODUTIVIDADES!A$112)</f>
        <v>0</v>
      </c>
      <c r="D130" s="240" t="s">
        <v>575</v>
      </c>
      <c r="E130" s="388">
        <f>(VALUE(RIGHT(D130,LEN(D130)-FIND(" - ",D130)-1))+VALUE(LEFT(D130,FIND(" - ",D130)-1)))/2</f>
        <v>124</v>
      </c>
      <c r="F130" s="241">
        <v>0.04</v>
      </c>
      <c r="G130" s="28">
        <v>5</v>
      </c>
      <c r="H130" s="243">
        <f>(C130*F130)/(E130*G130)</f>
        <v>0</v>
      </c>
      <c r="I130" s="259" t="s">
        <v>576</v>
      </c>
      <c r="J130" s="284">
        <f ca="1">IF(I130&lt;&gt;"",INDEX(INDIRECT(CONCATENATE("'",I130,"'!$1:$162")),MATCH("VALOR TOTAL DO POSTO",INDIRECT(CONCATENATE("'",I130,"'!$A:$A")),0),MATCH(J$3,INDIRECT(CONCATENATE("'",I130,"'!$25:$25")),0)+1),0)</f>
        <v>6158.44</v>
      </c>
      <c r="K130" s="284">
        <f ca="1">H130*J130</f>
        <v>0</v>
      </c>
      <c r="L130" s="284">
        <f ca="1">(H130/SUM($H$43,$H$65,$H$86,$H$109,$H$131))*$G$136</f>
        <v>0</v>
      </c>
      <c r="M130" s="30">
        <f>IF(C130=0,0,TRUNC((K130+L130)/C130,2))</f>
        <v>0</v>
      </c>
    </row>
    <row r="131" spans="1:32" ht="15" customHeight="1" thickBot="1" x14ac:dyDescent="0.3">
      <c r="A131" s="413" t="s">
        <v>31</v>
      </c>
      <c r="B131" s="414"/>
      <c r="C131" s="31">
        <f>SUM(C128:C130,C126,C115:C124)</f>
        <v>1382.1</v>
      </c>
      <c r="D131" s="31">
        <f>SUMPRODUCT(C114:C121,D114:D121)</f>
        <v>0</v>
      </c>
      <c r="E131" s="31"/>
      <c r="F131" s="31"/>
      <c r="G131" s="31"/>
      <c r="H131" s="244">
        <f>SUM(H128:H130,H126,H115:H124)</f>
        <v>6.7861344651952454E-2</v>
      </c>
      <c r="I131" s="244"/>
      <c r="J131" s="244"/>
      <c r="K131" s="244">
        <f ca="1">SUM(K128:K130,K126,K115:K124)</f>
        <v>392.66582260889641</v>
      </c>
      <c r="L131" s="244">
        <f ca="1">SUM(L128:L130,L126,L115:L124)</f>
        <v>10.099837003989514</v>
      </c>
      <c r="M131" s="32">
        <f>SUM(M114:M121)</f>
        <v>0</v>
      </c>
    </row>
    <row r="132" spans="1:32" s="248" customFormat="1" ht="45" customHeight="1" thickBot="1" x14ac:dyDescent="0.3">
      <c r="A132" s="454" t="s">
        <v>581</v>
      </c>
      <c r="B132" s="454"/>
      <c r="C132" s="454"/>
      <c r="D132" s="454"/>
      <c r="E132" s="454"/>
      <c r="F132" s="454"/>
      <c r="G132" s="454"/>
      <c r="H132" s="454"/>
      <c r="I132" s="454"/>
      <c r="J132" s="454"/>
      <c r="K132" s="454"/>
      <c r="L132" s="454"/>
      <c r="M132" s="454"/>
      <c r="N132" s="247"/>
      <c r="O132" s="247"/>
      <c r="P132" s="247"/>
      <c r="Q132" s="247"/>
      <c r="R132" s="247"/>
      <c r="S132" s="247"/>
      <c r="T132" s="247"/>
      <c r="U132" s="247"/>
      <c r="V132" s="247"/>
      <c r="W132" s="247"/>
      <c r="X132" s="247"/>
      <c r="Y132" s="247"/>
      <c r="Z132" s="247"/>
      <c r="AA132" s="247"/>
      <c r="AB132" s="247"/>
      <c r="AC132" s="247"/>
      <c r="AD132" s="247"/>
      <c r="AE132" s="247"/>
      <c r="AF132" s="247"/>
    </row>
    <row r="133" spans="1:32" s="248" customFormat="1" ht="15" customHeight="1" x14ac:dyDescent="0.25">
      <c r="A133" s="444" t="s">
        <v>586</v>
      </c>
      <c r="B133" s="445"/>
      <c r="C133" s="445"/>
      <c r="D133" s="445"/>
      <c r="E133" s="445"/>
      <c r="F133" s="445"/>
      <c r="G133" s="455"/>
      <c r="H133" s="249"/>
      <c r="I133" s="249"/>
      <c r="J133" s="249"/>
      <c r="K133" s="249"/>
      <c r="L133" s="249"/>
      <c r="M133" s="249"/>
      <c r="N133" s="247"/>
      <c r="O133" s="247"/>
      <c r="P133" s="247"/>
      <c r="Q133" s="247"/>
      <c r="R133" s="247"/>
      <c r="S133" s="247"/>
      <c r="T133" s="247"/>
      <c r="U133" s="247"/>
      <c r="V133" s="247"/>
      <c r="W133" s="247"/>
      <c r="X133" s="247"/>
      <c r="Y133" s="247"/>
      <c r="Z133" s="247"/>
      <c r="AA133" s="247"/>
      <c r="AB133" s="247"/>
      <c r="AC133" s="247"/>
      <c r="AD133" s="247"/>
      <c r="AE133" s="247"/>
      <c r="AF133" s="247"/>
    </row>
    <row r="134" spans="1:32" s="248" customFormat="1" ht="30" x14ac:dyDescent="0.25">
      <c r="A134" s="417" t="s">
        <v>39</v>
      </c>
      <c r="B134" s="418"/>
      <c r="C134" s="27" t="s">
        <v>587</v>
      </c>
      <c r="D134" s="27" t="s">
        <v>588</v>
      </c>
      <c r="E134" s="27" t="s">
        <v>57</v>
      </c>
      <c r="F134" s="27" t="s">
        <v>589</v>
      </c>
      <c r="G134" s="29" t="s">
        <v>6</v>
      </c>
      <c r="H134" s="249"/>
      <c r="I134" s="249"/>
      <c r="J134" s="249"/>
      <c r="K134" s="249"/>
      <c r="L134" s="249"/>
      <c r="M134" s="249"/>
      <c r="N134" s="247"/>
      <c r="O134" s="247"/>
      <c r="P134" s="247"/>
      <c r="Q134" s="247"/>
      <c r="R134" s="247"/>
      <c r="S134" s="247"/>
      <c r="T134" s="247"/>
      <c r="U134" s="247"/>
      <c r="V134" s="247"/>
      <c r="W134" s="247"/>
      <c r="X134" s="247"/>
      <c r="Y134" s="247"/>
      <c r="Z134" s="247"/>
      <c r="AA134" s="247"/>
      <c r="AB134" s="247"/>
      <c r="AC134" s="247"/>
      <c r="AD134" s="247"/>
      <c r="AE134" s="247"/>
      <c r="AF134" s="247"/>
    </row>
    <row r="135" spans="1:32" s="248" customFormat="1" x14ac:dyDescent="0.25">
      <c r="A135" s="252"/>
      <c r="B135" s="263" t="s">
        <v>590</v>
      </c>
      <c r="C135" s="250">
        <f>SUM(H6:H15,H17,H19:H21)/30</f>
        <v>10.452492853030948</v>
      </c>
      <c r="D135" s="250">
        <f>ROUND(C135,0)</f>
        <v>10</v>
      </c>
      <c r="E135" s="253" t="s">
        <v>591</v>
      </c>
      <c r="F135" s="284">
        <f ca="1">IF(E135&lt;&gt;"",INDEX(INDIRECT(CONCATENATE("'",E135,"'!$1:$162")),MATCH("VALOR TOTAL DO POSTO",INDIRECT(CONCATENATE("'",E135,"'!$A:$A")),0),MATCH(J$3,INDIRECT(CONCATENATE("'",E135,"'!$25:$25")),0)+1),0)</f>
        <v>6065.5</v>
      </c>
      <c r="G135" s="254">
        <f ca="1">D135*F135</f>
        <v>60655</v>
      </c>
      <c r="H135" s="249"/>
      <c r="I135" s="249"/>
      <c r="J135" s="249"/>
      <c r="K135" s="249"/>
      <c r="L135" s="249"/>
      <c r="M135" s="249"/>
      <c r="N135" s="247"/>
      <c r="O135" s="247"/>
      <c r="P135" s="247"/>
      <c r="Q135" s="247"/>
      <c r="R135" s="247"/>
      <c r="S135" s="247"/>
      <c r="T135" s="247"/>
      <c r="U135" s="247"/>
      <c r="V135" s="247"/>
      <c r="W135" s="247"/>
      <c r="X135" s="247"/>
      <c r="Y135" s="247"/>
      <c r="Z135" s="247"/>
      <c r="AA135" s="247"/>
      <c r="AB135" s="247"/>
      <c r="AC135" s="247"/>
      <c r="AD135" s="247"/>
      <c r="AE135" s="247"/>
      <c r="AF135" s="247"/>
    </row>
    <row r="136" spans="1:32" s="248" customFormat="1" x14ac:dyDescent="0.25">
      <c r="A136" s="252"/>
      <c r="B136" s="263" t="s">
        <v>592</v>
      </c>
      <c r="C136" s="250">
        <f>SUM(H27:H36,H38,H40:H42,H49:H58,H60,H62:H64,H70:H79,H81,H83:H85,H93:H102,H104,H106:H108,H115:H124,H126,H128:H130)/30</f>
        <v>1.3584806230827531</v>
      </c>
      <c r="D136" s="250">
        <f>ROUND(C136,0)</f>
        <v>1</v>
      </c>
      <c r="E136" s="253" t="s">
        <v>591</v>
      </c>
      <c r="F136" s="284">
        <f ca="1">IF(E136&lt;&gt;"",INDEX(INDIRECT(CONCATENATE("'",E136,"'!$1:$162")),MATCH("VALOR TOTAL DO POSTO",INDIRECT(CONCATENATE("'",E136,"'!$A:$A")),0),MATCH(J$3,INDIRECT(CONCATENATE("'",E136,"'!$25:$25")),0)+1),0)</f>
        <v>6065.5</v>
      </c>
      <c r="G136" s="254">
        <f ca="1">D136*F136</f>
        <v>6065.5</v>
      </c>
      <c r="H136" s="249"/>
      <c r="I136" s="249"/>
      <c r="J136" s="249"/>
      <c r="K136" s="249"/>
      <c r="L136" s="249"/>
      <c r="M136" s="249"/>
      <c r="N136" s="247"/>
      <c r="O136" s="247"/>
      <c r="P136" s="247"/>
      <c r="Q136" s="247"/>
      <c r="R136" s="247"/>
      <c r="S136" s="247"/>
      <c r="T136" s="247"/>
      <c r="U136" s="247"/>
      <c r="V136" s="247"/>
      <c r="W136" s="247"/>
      <c r="X136" s="247"/>
      <c r="Y136" s="247"/>
      <c r="Z136" s="247"/>
      <c r="AA136" s="247"/>
      <c r="AB136" s="247"/>
      <c r="AC136" s="247"/>
      <c r="AD136" s="247"/>
      <c r="AE136" s="247"/>
      <c r="AF136" s="247"/>
    </row>
    <row r="137" spans="1:32" s="248" customFormat="1" x14ac:dyDescent="0.25">
      <c r="A137" s="252"/>
      <c r="B137" s="263" t="s">
        <v>593</v>
      </c>
      <c r="C137" s="250">
        <f>(tbPOSTOS[[#Totals],[QUANTIDADE]])/30</f>
        <v>2.0666666666666669</v>
      </c>
      <c r="D137" s="250">
        <f>ROUND(C137,0)</f>
        <v>2</v>
      </c>
      <c r="E137" s="253" t="s">
        <v>591</v>
      </c>
      <c r="F137" s="284">
        <f ca="1">IF(E137&lt;&gt;"",INDEX(INDIRECT(CONCATENATE("'",E137,"'!$1:$162")),MATCH("VALOR TOTAL DO POSTO",INDIRECT(CONCATENATE("'",E137,"'!$A:$A")),0),MATCH(J$3,INDIRECT(CONCATENATE("'",E137,"'!$25:$25")),0)+1),0)</f>
        <v>6065.5</v>
      </c>
      <c r="G137" s="254">
        <f ca="1">D137*F137</f>
        <v>12131</v>
      </c>
      <c r="H137" s="249"/>
      <c r="I137" s="249"/>
      <c r="J137" s="249"/>
      <c r="K137" s="249"/>
      <c r="L137" s="249"/>
      <c r="M137" s="249"/>
      <c r="N137" s="247"/>
      <c r="O137" s="247"/>
      <c r="P137" s="247"/>
      <c r="Q137" s="247"/>
      <c r="R137" s="247"/>
      <c r="S137" s="247"/>
      <c r="T137" s="247"/>
      <c r="U137" s="247"/>
      <c r="V137" s="247"/>
      <c r="W137" s="247"/>
      <c r="X137" s="247"/>
      <c r="Y137" s="247"/>
      <c r="Z137" s="247"/>
      <c r="AA137" s="247"/>
      <c r="AB137" s="247"/>
      <c r="AC137" s="247"/>
      <c r="AD137" s="247"/>
      <c r="AE137" s="247"/>
      <c r="AF137" s="247"/>
    </row>
    <row r="138" spans="1:32" s="248" customFormat="1" ht="16.5" thickBot="1" x14ac:dyDescent="0.3">
      <c r="A138" s="413" t="s">
        <v>594</v>
      </c>
      <c r="B138" s="414"/>
      <c r="C138" s="31">
        <f>SUM(C135:C137)</f>
        <v>13.877640142780368</v>
      </c>
      <c r="D138" s="31">
        <f>SUM(D135:D137)</f>
        <v>13</v>
      </c>
      <c r="E138" s="31"/>
      <c r="F138" s="31"/>
      <c r="G138" s="32">
        <f ca="1">SUM(G135:G137)</f>
        <v>78851.5</v>
      </c>
      <c r="H138" s="249"/>
      <c r="I138" s="249"/>
      <c r="J138" s="249"/>
      <c r="K138" s="249"/>
      <c r="L138" s="249"/>
      <c r="M138" s="249"/>
      <c r="N138" s="247"/>
      <c r="O138" s="247"/>
      <c r="P138" s="247"/>
      <c r="Q138" s="247"/>
      <c r="R138" s="247"/>
      <c r="S138" s="247"/>
      <c r="T138" s="247"/>
      <c r="U138" s="247"/>
      <c r="V138" s="247"/>
      <c r="W138" s="247"/>
      <c r="X138" s="247"/>
      <c r="Y138" s="247"/>
      <c r="Z138" s="247"/>
      <c r="AA138" s="247"/>
      <c r="AB138" s="247"/>
      <c r="AC138" s="247"/>
      <c r="AD138" s="247"/>
      <c r="AE138" s="247"/>
      <c r="AF138" s="247"/>
    </row>
    <row r="139" spans="1:32" s="248" customFormat="1" ht="15.75" thickBot="1" x14ac:dyDescent="0.3">
      <c r="A139" s="249"/>
      <c r="B139" s="249"/>
      <c r="C139" s="249"/>
      <c r="D139" s="249"/>
      <c r="E139" s="249"/>
      <c r="F139" s="249"/>
      <c r="G139" s="249"/>
      <c r="H139" s="249"/>
      <c r="I139" s="249"/>
      <c r="J139" s="249"/>
      <c r="K139" s="249"/>
      <c r="L139" s="249"/>
      <c r="M139" s="249"/>
      <c r="N139" s="247"/>
      <c r="O139" s="247"/>
      <c r="P139" s="247"/>
      <c r="Q139" s="247"/>
      <c r="R139" s="247"/>
      <c r="S139" s="247"/>
      <c r="T139" s="247"/>
      <c r="U139" s="247"/>
      <c r="V139" s="247"/>
      <c r="W139" s="247"/>
      <c r="X139" s="247"/>
      <c r="Y139" s="247"/>
      <c r="Z139" s="247"/>
      <c r="AA139" s="247"/>
      <c r="AB139" s="247"/>
      <c r="AC139" s="247"/>
      <c r="AD139" s="247"/>
      <c r="AE139" s="247"/>
      <c r="AF139" s="247"/>
    </row>
    <row r="140" spans="1:32" s="248" customFormat="1" ht="15.75" x14ac:dyDescent="0.25">
      <c r="A140" s="444" t="s">
        <v>595</v>
      </c>
      <c r="B140" s="445"/>
      <c r="C140" s="445"/>
      <c r="D140" s="445"/>
      <c r="E140" s="445"/>
      <c r="F140" s="445"/>
      <c r="G140" s="455"/>
      <c r="H140" s="249"/>
      <c r="I140" s="249"/>
      <c r="J140" s="249"/>
      <c r="K140" s="249"/>
      <c r="L140" s="249"/>
      <c r="M140" s="249"/>
      <c r="N140" s="247"/>
      <c r="O140" s="247"/>
      <c r="P140" s="247"/>
      <c r="Q140" s="247"/>
      <c r="R140" s="247"/>
      <c r="S140" s="247"/>
      <c r="T140" s="247"/>
      <c r="U140" s="247"/>
      <c r="V140" s="247"/>
      <c r="W140" s="247"/>
      <c r="X140" s="247"/>
      <c r="Y140" s="247"/>
      <c r="Z140" s="247"/>
      <c r="AA140" s="247"/>
      <c r="AB140" s="247"/>
      <c r="AC140" s="247"/>
      <c r="AD140" s="247"/>
      <c r="AE140" s="247"/>
      <c r="AF140" s="247"/>
    </row>
    <row r="141" spans="1:32" s="248" customFormat="1" ht="30" x14ac:dyDescent="0.25">
      <c r="A141" s="417" t="s">
        <v>39</v>
      </c>
      <c r="B141" s="418"/>
      <c r="C141" s="27" t="s">
        <v>587</v>
      </c>
      <c r="D141" s="27" t="s">
        <v>588</v>
      </c>
      <c r="E141" s="27" t="s">
        <v>57</v>
      </c>
      <c r="F141" s="27" t="s">
        <v>589</v>
      </c>
      <c r="G141" s="29" t="s">
        <v>6</v>
      </c>
      <c r="H141" s="249"/>
      <c r="I141" s="249"/>
      <c r="J141" s="249"/>
      <c r="K141" s="249"/>
      <c r="L141" s="249"/>
      <c r="M141" s="249"/>
      <c r="N141" s="247"/>
      <c r="O141" s="247"/>
      <c r="P141" s="247"/>
      <c r="Q141" s="247"/>
      <c r="R141" s="247"/>
      <c r="S141" s="247"/>
      <c r="T141" s="247"/>
      <c r="U141" s="247"/>
      <c r="V141" s="247"/>
      <c r="W141" s="247"/>
      <c r="X141" s="247"/>
      <c r="Y141" s="247"/>
      <c r="Z141" s="247"/>
      <c r="AA141" s="247"/>
      <c r="AB141" s="247"/>
      <c r="AC141" s="247"/>
      <c r="AD141" s="247"/>
      <c r="AE141" s="247"/>
      <c r="AF141" s="247"/>
    </row>
    <row r="142" spans="1:32" s="248" customFormat="1" x14ac:dyDescent="0.25">
      <c r="A142" s="450" t="s">
        <v>52</v>
      </c>
      <c r="B142" s="451"/>
      <c r="C142" s="451"/>
      <c r="D142" s="451"/>
      <c r="E142" s="451"/>
      <c r="F142" s="451"/>
      <c r="G142" s="452"/>
      <c r="H142" s="249"/>
      <c r="I142" s="249"/>
      <c r="J142" s="249"/>
      <c r="K142" s="249"/>
      <c r="L142" s="249"/>
      <c r="M142" s="249"/>
      <c r="N142" s="247"/>
      <c r="O142" s="247"/>
      <c r="P142" s="247"/>
      <c r="Q142" s="247"/>
      <c r="R142" s="247"/>
      <c r="S142" s="247"/>
      <c r="T142" s="247"/>
      <c r="U142" s="247"/>
      <c r="V142" s="247"/>
      <c r="W142" s="247"/>
      <c r="X142" s="247"/>
      <c r="Y142" s="247"/>
      <c r="Z142" s="247"/>
      <c r="AA142" s="247"/>
      <c r="AB142" s="247"/>
      <c r="AC142" s="247"/>
      <c r="AD142" s="247"/>
      <c r="AE142" s="247"/>
      <c r="AF142" s="247"/>
    </row>
    <row r="143" spans="1:32" s="248" customFormat="1" x14ac:dyDescent="0.25">
      <c r="A143" s="252"/>
      <c r="B143" s="263" t="s">
        <v>25</v>
      </c>
      <c r="C143" s="324">
        <f>SUMIFS($H$5:$H$130,$I$5:$I$130,E143)</f>
        <v>225.3234180794316</v>
      </c>
      <c r="D143" s="250">
        <f>ROUND(C143,0)</f>
        <v>225</v>
      </c>
      <c r="E143" s="326" t="s">
        <v>63</v>
      </c>
      <c r="F143" s="284">
        <f ca="1">IF(E143&lt;&gt;"",INDEX(INDIRECT(CONCATENATE("'",E143,"'!$1:$162")),MATCH("VALOR TOTAL DO POSTO",INDIRECT(CONCATENATE("'",E143,"'!$A:$A")),0),MATCH(J$3,INDIRECT(CONCATENATE("'",E143,"'!$25:$25")),0)+1),0)</f>
        <v>5073.5200000000004</v>
      </c>
      <c r="G143" s="254">
        <f ca="1">D143*F143</f>
        <v>1141542</v>
      </c>
      <c r="H143" s="249"/>
      <c r="I143" s="249"/>
      <c r="J143" s="249"/>
      <c r="K143" s="249"/>
      <c r="L143" s="249"/>
      <c r="M143" s="249"/>
      <c r="N143" s="247"/>
      <c r="O143" s="247"/>
      <c r="P143" s="247"/>
      <c r="Q143" s="247"/>
      <c r="R143" s="247"/>
      <c r="S143" s="247"/>
      <c r="T143" s="247"/>
      <c r="U143" s="247"/>
      <c r="V143" s="247"/>
      <c r="W143" s="247"/>
      <c r="X143" s="247"/>
      <c r="Y143" s="247"/>
      <c r="Z143" s="247"/>
      <c r="AA143" s="247"/>
      <c r="AB143" s="247"/>
      <c r="AC143" s="247"/>
      <c r="AD143" s="247"/>
      <c r="AE143" s="247"/>
      <c r="AF143" s="247"/>
    </row>
    <row r="144" spans="1:32" s="248" customFormat="1" x14ac:dyDescent="0.25">
      <c r="A144" s="252"/>
      <c r="B144" s="265" t="s">
        <v>26</v>
      </c>
      <c r="C144" s="324">
        <f t="shared" ref="C144:C154" si="38">SUMIFS($H$5:$H$130,$I$5:$I$130,E144)</f>
        <v>84.70867924528298</v>
      </c>
      <c r="D144" s="250">
        <f>ROUND(C144,0)</f>
        <v>85</v>
      </c>
      <c r="E144" s="326" t="s">
        <v>81</v>
      </c>
      <c r="F144" s="284">
        <f ca="1">IF(E144&lt;&gt;"",INDEX(INDIRECT(CONCATENATE("'",E144,"'!$1:$162")),MATCH("VALOR TOTAL DO POSTO",INDIRECT(CONCATENATE("'",E144,"'!$A:$A")),0),MATCH(J$3,INDIRECT(CONCATENATE("'",E144,"'!$25:$25")),0)+1),0)</f>
        <v>5816.54</v>
      </c>
      <c r="G144" s="254">
        <f ca="1">D144*F144</f>
        <v>494405.9</v>
      </c>
      <c r="H144" s="249"/>
      <c r="I144" s="249"/>
      <c r="J144" s="249"/>
      <c r="K144" s="249"/>
      <c r="L144" s="249"/>
      <c r="M144" s="249"/>
      <c r="N144" s="247"/>
      <c r="O144" s="247"/>
      <c r="P144" s="247"/>
      <c r="Q144" s="247"/>
      <c r="R144" s="247"/>
      <c r="S144" s="247"/>
      <c r="T144" s="247"/>
      <c r="U144" s="247"/>
      <c r="V144" s="247"/>
      <c r="W144" s="247"/>
      <c r="X144" s="247"/>
      <c r="Y144" s="247"/>
      <c r="Z144" s="247"/>
      <c r="AA144" s="247"/>
      <c r="AB144" s="247"/>
      <c r="AC144" s="247"/>
      <c r="AD144" s="247"/>
      <c r="AE144" s="247"/>
      <c r="AF144" s="247"/>
    </row>
    <row r="145" spans="1:32" s="248" customFormat="1" x14ac:dyDescent="0.25">
      <c r="A145" s="252"/>
      <c r="B145" s="325" t="s">
        <v>1100</v>
      </c>
      <c r="C145" s="324">
        <f t="shared" si="38"/>
        <v>4.3318438709677416</v>
      </c>
      <c r="D145" s="250">
        <f>ROUND(C145,0)</f>
        <v>4</v>
      </c>
      <c r="E145" s="327" t="s">
        <v>576</v>
      </c>
      <c r="F145" s="284">
        <f ca="1">IF(E145&lt;&gt;"",INDEX(INDIRECT(CONCATENATE("'",E145,"'!$1:$162")),MATCH("VALOR TOTAL DO POSTO",INDIRECT(CONCATENATE("'",E145,"'!$A:$A")),0),MATCH(J$3,INDIRECT(CONCATENATE("'",E145,"'!$25:$25")),0)+1),0)</f>
        <v>6158.44</v>
      </c>
      <c r="G145" s="254">
        <f ca="1">D145*F145</f>
        <v>24633.759999999998</v>
      </c>
      <c r="H145" s="249"/>
      <c r="I145" s="249"/>
      <c r="J145" s="249"/>
      <c r="K145" s="249"/>
      <c r="L145" s="249"/>
      <c r="M145" s="249"/>
      <c r="N145" s="247"/>
      <c r="O145" s="247"/>
      <c r="P145" s="247"/>
      <c r="Q145" s="247"/>
      <c r="R145" s="247"/>
      <c r="S145" s="247"/>
      <c r="T145" s="247"/>
      <c r="U145" s="247"/>
      <c r="V145" s="247"/>
      <c r="W145" s="247"/>
      <c r="X145" s="247"/>
      <c r="Y145" s="247"/>
      <c r="Z145" s="247"/>
      <c r="AA145" s="247"/>
      <c r="AB145" s="247"/>
      <c r="AC145" s="247"/>
      <c r="AD145" s="247"/>
      <c r="AE145" s="247"/>
      <c r="AF145" s="247"/>
    </row>
    <row r="146" spans="1:32" s="248" customFormat="1" x14ac:dyDescent="0.25">
      <c r="A146" s="450" t="s">
        <v>49</v>
      </c>
      <c r="B146" s="451"/>
      <c r="C146" s="451"/>
      <c r="D146" s="451"/>
      <c r="E146" s="451"/>
      <c r="F146" s="451"/>
      <c r="G146" s="452"/>
      <c r="H146" s="249"/>
      <c r="I146" s="249"/>
      <c r="J146" s="249"/>
      <c r="K146" s="249"/>
      <c r="L146" s="249"/>
      <c r="M146" s="249"/>
      <c r="N146" s="247"/>
      <c r="O146" s="247"/>
      <c r="P146" s="247"/>
      <c r="Q146" s="247"/>
      <c r="R146" s="247"/>
      <c r="S146" s="247"/>
      <c r="T146" s="247"/>
      <c r="U146" s="247"/>
      <c r="V146" s="247"/>
      <c r="W146" s="247"/>
      <c r="X146" s="247"/>
      <c r="Y146" s="247"/>
      <c r="Z146" s="247"/>
      <c r="AA146" s="247"/>
      <c r="AB146" s="247"/>
      <c r="AC146" s="247"/>
      <c r="AD146" s="247"/>
      <c r="AE146" s="247"/>
      <c r="AF146" s="247"/>
    </row>
    <row r="147" spans="1:32" s="248" customFormat="1" x14ac:dyDescent="0.25">
      <c r="A147" s="252"/>
      <c r="B147" s="263" t="s">
        <v>25</v>
      </c>
      <c r="C147" s="324">
        <f t="shared" si="38"/>
        <v>8.7766511364671942</v>
      </c>
      <c r="D147" s="250">
        <f>ROUND(C147,0)</f>
        <v>9</v>
      </c>
      <c r="E147" s="328" t="s">
        <v>580</v>
      </c>
      <c r="F147" s="284">
        <f ca="1">IF(E147&lt;&gt;"",INDEX(INDIRECT(CONCATENATE("'",E147,"'!$1:$162")),MATCH("VALOR TOTAL DO POSTO",INDIRECT(CONCATENATE("'",E147,"'!$A:$A")),0),MATCH(J$3,INDIRECT(CONCATENATE("'",E147,"'!$25:$25")),0)+1),0)</f>
        <v>5070.99</v>
      </c>
      <c r="G147" s="254">
        <f ca="1">D147*F147</f>
        <v>45638.909999999996</v>
      </c>
      <c r="H147" s="249"/>
      <c r="I147" s="249"/>
      <c r="J147" s="249"/>
      <c r="K147" s="249"/>
      <c r="L147" s="249"/>
      <c r="M147" s="249"/>
      <c r="N147" s="247"/>
      <c r="O147" s="247"/>
      <c r="P147" s="247"/>
      <c r="Q147" s="247"/>
      <c r="R147" s="247"/>
      <c r="S147" s="247"/>
      <c r="T147" s="247"/>
      <c r="U147" s="247"/>
      <c r="V147" s="247"/>
      <c r="W147" s="247"/>
      <c r="X147" s="247"/>
      <c r="Y147" s="247"/>
      <c r="Z147" s="247"/>
      <c r="AA147" s="247"/>
      <c r="AB147" s="247"/>
      <c r="AC147" s="247"/>
      <c r="AD147" s="247"/>
      <c r="AE147" s="247"/>
      <c r="AF147" s="247"/>
    </row>
    <row r="148" spans="1:32" s="248" customFormat="1" x14ac:dyDescent="0.25">
      <c r="A148" s="252"/>
      <c r="B148" s="265" t="s">
        <v>26</v>
      </c>
      <c r="C148" s="324">
        <f t="shared" si="38"/>
        <v>4.2232590051457972</v>
      </c>
      <c r="D148" s="250">
        <f>ROUND(C148,0)</f>
        <v>4</v>
      </c>
      <c r="E148" s="329" t="s">
        <v>125</v>
      </c>
      <c r="F148" s="284">
        <f ca="1">IF(E148&lt;&gt;"",INDEX(INDIRECT(CONCATENATE("'",E148,"'!$1:$162")),MATCH("VALOR TOTAL DO POSTO",INDIRECT(CONCATENATE("'",E148,"'!$A:$A")),0),MATCH(J$3,INDIRECT(CONCATENATE("'",E148,"'!$25:$25")),0)+1),0)</f>
        <v>5805.53</v>
      </c>
      <c r="G148" s="254">
        <f ca="1">D148*F148</f>
        <v>23222.12</v>
      </c>
      <c r="H148" s="249"/>
      <c r="I148" s="249"/>
      <c r="J148" s="249"/>
      <c r="K148" s="249"/>
      <c r="L148" s="249"/>
      <c r="M148" s="249"/>
      <c r="N148" s="247"/>
      <c r="O148" s="247"/>
      <c r="P148" s="247"/>
      <c r="Q148" s="247"/>
      <c r="R148" s="247"/>
      <c r="S148" s="247"/>
      <c r="T148" s="247"/>
      <c r="U148" s="247"/>
      <c r="V148" s="247"/>
      <c r="W148" s="247"/>
      <c r="X148" s="247"/>
      <c r="Y148" s="247"/>
      <c r="Z148" s="247"/>
      <c r="AA148" s="247"/>
      <c r="AB148" s="247"/>
      <c r="AC148" s="247"/>
      <c r="AD148" s="247"/>
      <c r="AE148" s="247"/>
      <c r="AF148" s="247"/>
    </row>
    <row r="149" spans="1:32" s="248" customFormat="1" x14ac:dyDescent="0.25">
      <c r="A149" s="450" t="s">
        <v>50</v>
      </c>
      <c r="B149" s="451"/>
      <c r="C149" s="451"/>
      <c r="D149" s="451"/>
      <c r="E149" s="451"/>
      <c r="F149" s="451"/>
      <c r="G149" s="452"/>
      <c r="H149" s="249"/>
      <c r="I149" s="249"/>
      <c r="J149" s="249"/>
      <c r="K149" s="249"/>
      <c r="L149" s="249"/>
      <c r="M149" s="249"/>
      <c r="N149" s="247"/>
      <c r="O149" s="247"/>
      <c r="P149" s="247"/>
      <c r="Q149" s="247"/>
      <c r="R149" s="247"/>
      <c r="S149" s="247"/>
      <c r="T149" s="247"/>
      <c r="U149" s="247"/>
      <c r="V149" s="247"/>
      <c r="W149" s="247"/>
      <c r="X149" s="247"/>
      <c r="Y149" s="247"/>
      <c r="Z149" s="247"/>
      <c r="AA149" s="247"/>
      <c r="AB149" s="247"/>
      <c r="AC149" s="247"/>
      <c r="AD149" s="247"/>
      <c r="AE149" s="247"/>
      <c r="AF149" s="247"/>
    </row>
    <row r="150" spans="1:32" s="248" customFormat="1" x14ac:dyDescent="0.25">
      <c r="A150" s="252"/>
      <c r="B150" s="263" t="s">
        <v>25</v>
      </c>
      <c r="C150" s="324">
        <f t="shared" si="38"/>
        <v>9.5505136827308341</v>
      </c>
      <c r="D150" s="250">
        <f>ROUND(C150,0)</f>
        <v>10</v>
      </c>
      <c r="E150" s="330" t="s">
        <v>582</v>
      </c>
      <c r="F150" s="284">
        <f ca="1">IF(E150&lt;&gt;"",INDEX(INDIRECT(CONCATENATE("'",E150,"'!$1:$162")),MATCH("VALOR TOTAL DO POSTO",INDIRECT(CONCATENATE("'",E150,"'!$A:$A")),0),MATCH(J$3,INDIRECT(CONCATENATE("'",E150,"'!$25:$25")),0)+1),0)</f>
        <v>4888.13</v>
      </c>
      <c r="G150" s="254">
        <f ca="1">D150*F150</f>
        <v>48881.3</v>
      </c>
      <c r="H150" s="249"/>
      <c r="I150" s="249"/>
      <c r="J150" s="249"/>
      <c r="K150" s="249"/>
      <c r="L150" s="249"/>
      <c r="M150" s="249"/>
      <c r="N150" s="247"/>
      <c r="O150" s="247"/>
      <c r="P150" s="247"/>
      <c r="Q150" s="247"/>
      <c r="R150" s="247"/>
      <c r="S150" s="247"/>
      <c r="T150" s="247"/>
      <c r="U150" s="247"/>
      <c r="V150" s="247"/>
      <c r="W150" s="247"/>
      <c r="X150" s="247"/>
      <c r="Y150" s="247"/>
      <c r="Z150" s="247"/>
      <c r="AA150" s="247"/>
      <c r="AB150" s="247"/>
      <c r="AC150" s="247"/>
      <c r="AD150" s="247"/>
      <c r="AE150" s="247"/>
      <c r="AF150" s="247"/>
    </row>
    <row r="151" spans="1:32" s="248" customFormat="1" x14ac:dyDescent="0.25">
      <c r="A151" s="252"/>
      <c r="B151" s="265" t="s">
        <v>26</v>
      </c>
      <c r="C151" s="324">
        <f t="shared" si="38"/>
        <v>2.8324528301886795</v>
      </c>
      <c r="D151" s="250">
        <f>ROUND(C151,0)</f>
        <v>3</v>
      </c>
      <c r="E151" s="331" t="s">
        <v>583</v>
      </c>
      <c r="F151" s="284">
        <f ca="1">IF(E151&lt;&gt;"",INDEX(INDIRECT(CONCATENATE("'",E151,"'!$1:$162")),MATCH("VALOR TOTAL DO POSTO",INDIRECT(CONCATENATE("'",E151,"'!$A:$A")),0),MATCH(J$3,INDIRECT(CONCATENATE("'",E151,"'!$25:$25")),0)+1),0)</f>
        <v>5621.54</v>
      </c>
      <c r="G151" s="254">
        <f ca="1">D151*F151</f>
        <v>16864.62</v>
      </c>
      <c r="H151" s="249"/>
      <c r="I151" s="249"/>
      <c r="J151" s="249"/>
      <c r="K151" s="249"/>
      <c r="L151" s="249"/>
      <c r="M151" s="249"/>
      <c r="N151" s="247"/>
      <c r="O151" s="247"/>
      <c r="P151" s="247"/>
      <c r="Q151" s="247"/>
      <c r="R151" s="247"/>
      <c r="S151" s="247"/>
      <c r="T151" s="247"/>
      <c r="U151" s="247"/>
      <c r="V151" s="247"/>
      <c r="W151" s="247"/>
      <c r="X151" s="247"/>
      <c r="Y151" s="247"/>
      <c r="Z151" s="247"/>
      <c r="AA151" s="247"/>
      <c r="AB151" s="247"/>
      <c r="AC151" s="247"/>
      <c r="AD151" s="247"/>
      <c r="AE151" s="247"/>
      <c r="AF151" s="247"/>
    </row>
    <row r="152" spans="1:32" s="248" customFormat="1" x14ac:dyDescent="0.25">
      <c r="A152" s="450" t="s">
        <v>51</v>
      </c>
      <c r="B152" s="451"/>
      <c r="C152" s="451"/>
      <c r="D152" s="451"/>
      <c r="E152" s="451"/>
      <c r="F152" s="451"/>
      <c r="G152" s="452"/>
      <c r="H152" s="249"/>
      <c r="I152" s="249"/>
      <c r="J152" s="249"/>
      <c r="K152" s="249"/>
      <c r="L152" s="249"/>
      <c r="M152" s="249"/>
      <c r="N152" s="247"/>
      <c r="O152" s="247"/>
      <c r="P152" s="247"/>
      <c r="Q152" s="247"/>
      <c r="R152" s="247"/>
      <c r="S152" s="247"/>
      <c r="T152" s="247"/>
      <c r="U152" s="247"/>
      <c r="V152" s="247"/>
      <c r="W152" s="247"/>
      <c r="X152" s="247"/>
      <c r="Y152" s="247"/>
      <c r="Z152" s="247"/>
      <c r="AA152" s="247"/>
      <c r="AB152" s="247"/>
      <c r="AC152" s="247"/>
      <c r="AD152" s="247"/>
      <c r="AE152" s="247"/>
      <c r="AF152" s="247"/>
    </row>
    <row r="153" spans="1:32" s="248" customFormat="1" x14ac:dyDescent="0.25">
      <c r="A153" s="252"/>
      <c r="B153" s="263" t="s">
        <v>25</v>
      </c>
      <c r="C153" s="324">
        <f t="shared" si="38"/>
        <v>11.31713771964567</v>
      </c>
      <c r="D153" s="250">
        <f>ROUND(C153,0)</f>
        <v>11</v>
      </c>
      <c r="E153" s="332" t="s">
        <v>584</v>
      </c>
      <c r="F153" s="284">
        <f ca="1">IF(E153&lt;&gt;"",INDEX(INDIRECT(CONCATENATE("'",E153,"'!$1:$162")),MATCH("VALOR TOTAL DO POSTO",INDIRECT(CONCATENATE("'",E153,"'!$A:$A")),0),MATCH(J$3,INDIRECT(CONCATENATE("'",E153,"'!$25:$25")),0)+1),0)</f>
        <v>4960.42</v>
      </c>
      <c r="G153" s="254">
        <f ca="1">D153*F153</f>
        <v>54564.62</v>
      </c>
      <c r="H153" s="249"/>
      <c r="I153" s="249"/>
      <c r="J153" s="249"/>
      <c r="K153" s="249"/>
      <c r="L153" s="249"/>
      <c r="M153" s="249"/>
      <c r="N153" s="247"/>
      <c r="O153" s="247"/>
      <c r="P153" s="247"/>
      <c r="Q153" s="247"/>
      <c r="R153" s="247"/>
      <c r="S153" s="247"/>
      <c r="T153" s="247"/>
      <c r="U153" s="247"/>
      <c r="V153" s="247"/>
      <c r="W153" s="247"/>
      <c r="X153" s="247"/>
      <c r="Y153" s="247"/>
      <c r="Z153" s="247"/>
      <c r="AA153" s="247"/>
      <c r="AB153" s="247"/>
      <c r="AC153" s="247"/>
      <c r="AD153" s="247"/>
      <c r="AE153" s="247"/>
      <c r="AF153" s="247"/>
    </row>
    <row r="154" spans="1:32" s="248" customFormat="1" x14ac:dyDescent="0.25">
      <c r="A154" s="252"/>
      <c r="B154" s="265" t="s">
        <v>26</v>
      </c>
      <c r="C154" s="324">
        <f t="shared" si="38"/>
        <v>3.2652487135506001</v>
      </c>
      <c r="D154" s="250">
        <f>ROUND(C154,0)</f>
        <v>3</v>
      </c>
      <c r="E154" s="333" t="s">
        <v>585</v>
      </c>
      <c r="F154" s="284">
        <f ca="1">IF(E154&lt;&gt;"",INDEX(INDIRECT(CONCATENATE("'",E154,"'!$1:$162")),MATCH("VALOR TOTAL DO POSTO",INDIRECT(CONCATENATE("'",E154,"'!$A:$A")),0),MATCH(J$3,INDIRECT(CONCATENATE("'",E154,"'!$25:$25")),0)+1),0)</f>
        <v>5694.97</v>
      </c>
      <c r="G154" s="254">
        <f ca="1">D154*F154</f>
        <v>17084.91</v>
      </c>
      <c r="H154" s="249"/>
      <c r="I154" s="249"/>
      <c r="J154" s="249"/>
      <c r="K154" s="249"/>
      <c r="L154" s="249"/>
      <c r="M154" s="249"/>
      <c r="N154" s="247"/>
      <c r="O154" s="247"/>
      <c r="P154" s="247"/>
      <c r="Q154" s="247"/>
      <c r="R154" s="247"/>
      <c r="S154" s="247"/>
      <c r="T154" s="247"/>
      <c r="U154" s="247"/>
      <c r="V154" s="247"/>
      <c r="W154" s="247"/>
      <c r="X154" s="247"/>
      <c r="Y154" s="247"/>
      <c r="Z154" s="247"/>
      <c r="AA154" s="247"/>
      <c r="AB154" s="247"/>
      <c r="AC154" s="247"/>
      <c r="AD154" s="247"/>
      <c r="AE154" s="247"/>
      <c r="AF154" s="247"/>
    </row>
    <row r="155" spans="1:32" s="248" customFormat="1" ht="16.5" thickBot="1" x14ac:dyDescent="0.3">
      <c r="A155" s="413" t="s">
        <v>32</v>
      </c>
      <c r="B155" s="414"/>
      <c r="C155" s="31">
        <f>SUM(C143:C154)</f>
        <v>354.32920428341106</v>
      </c>
      <c r="D155" s="31">
        <f>SUM(D143:D154)</f>
        <v>354</v>
      </c>
      <c r="E155" s="31"/>
      <c r="F155" s="31"/>
      <c r="G155" s="32">
        <f ca="1">SUM(G143:G154)</f>
        <v>1866838.1400000001</v>
      </c>
      <c r="H155" s="249"/>
      <c r="I155" s="249"/>
      <c r="J155" s="249"/>
      <c r="K155" s="249"/>
      <c r="L155" s="249"/>
      <c r="M155" s="249"/>
      <c r="N155" s="247"/>
      <c r="O155" s="247"/>
      <c r="P155" s="247"/>
      <c r="Q155" s="247"/>
      <c r="R155" s="247"/>
      <c r="S155" s="247"/>
      <c r="T155" s="247"/>
      <c r="U155" s="247"/>
      <c r="V155" s="247"/>
      <c r="W155" s="247"/>
      <c r="X155" s="247"/>
      <c r="Y155" s="247"/>
      <c r="Z155" s="247"/>
      <c r="AA155" s="247"/>
      <c r="AB155" s="247"/>
      <c r="AC155" s="247"/>
      <c r="AD155" s="247"/>
      <c r="AE155" s="247"/>
      <c r="AF155" s="247"/>
    </row>
    <row r="156" spans="1:32" s="248" customFormat="1" x14ac:dyDescent="0.25">
      <c r="A156" s="249"/>
      <c r="B156" s="249"/>
      <c r="C156" s="249"/>
      <c r="D156" s="249"/>
      <c r="E156" s="249"/>
      <c r="F156" s="249"/>
      <c r="G156" s="249"/>
      <c r="H156" s="249"/>
      <c r="I156" s="249"/>
      <c r="J156" s="249"/>
      <c r="K156" s="249"/>
      <c r="L156" s="249"/>
      <c r="M156" s="249"/>
      <c r="N156" s="247"/>
      <c r="O156" s="247"/>
      <c r="P156" s="247"/>
      <c r="Q156" s="247"/>
      <c r="R156" s="247"/>
      <c r="S156" s="247"/>
      <c r="T156" s="247"/>
      <c r="U156" s="247"/>
      <c r="V156" s="247"/>
      <c r="W156" s="247"/>
      <c r="X156" s="247"/>
      <c r="Y156" s="247"/>
      <c r="Z156" s="247"/>
      <c r="AA156" s="247"/>
      <c r="AB156" s="247"/>
      <c r="AC156" s="247"/>
      <c r="AD156" s="247"/>
      <c r="AE156" s="247"/>
      <c r="AF156" s="247"/>
    </row>
    <row r="157" spans="1:32" s="248" customFormat="1" x14ac:dyDescent="0.25">
      <c r="A157" s="249"/>
      <c r="B157" s="249"/>
      <c r="C157" s="249"/>
      <c r="D157" s="249"/>
      <c r="E157" s="249"/>
      <c r="F157" s="249"/>
      <c r="G157" s="249"/>
      <c r="H157" s="249"/>
      <c r="I157" s="249"/>
      <c r="J157" s="249"/>
      <c r="K157" s="249"/>
      <c r="L157" s="249"/>
      <c r="M157" s="249"/>
      <c r="N157" s="247"/>
      <c r="O157" s="247"/>
      <c r="P157" s="247"/>
      <c r="Q157" s="247"/>
      <c r="R157" s="247"/>
      <c r="S157" s="247"/>
      <c r="T157" s="247"/>
      <c r="U157" s="247"/>
      <c r="V157" s="247"/>
      <c r="W157" s="247"/>
      <c r="X157" s="247"/>
      <c r="Y157" s="247"/>
      <c r="Z157" s="247"/>
      <c r="AA157" s="247"/>
      <c r="AB157" s="247"/>
      <c r="AC157" s="247"/>
      <c r="AD157" s="247"/>
      <c r="AE157" s="247"/>
      <c r="AF157" s="247"/>
    </row>
    <row r="158" spans="1:32" ht="15.75" customHeight="1" x14ac:dyDescent="0.25"/>
    <row r="159" spans="1:32" ht="15.75" customHeight="1" x14ac:dyDescent="0.25"/>
    <row r="160" spans="1:32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  <row r="1025" ht="15.75" customHeight="1" x14ac:dyDescent="0.25"/>
    <row r="1026" ht="15.75" customHeight="1" x14ac:dyDescent="0.25"/>
    <row r="1027" ht="15.75" customHeight="1" x14ac:dyDescent="0.25"/>
    <row r="1028" ht="15.75" customHeight="1" x14ac:dyDescent="0.25"/>
    <row r="1029" ht="15.75" customHeight="1" x14ac:dyDescent="0.25"/>
    <row r="1030" ht="15.75" customHeight="1" x14ac:dyDescent="0.25"/>
    <row r="1031" ht="15.75" customHeight="1" x14ac:dyDescent="0.25"/>
    <row r="1032" ht="15.75" customHeight="1" x14ac:dyDescent="0.25"/>
    <row r="1033" ht="15.75" customHeight="1" x14ac:dyDescent="0.25"/>
    <row r="1034" ht="15.75" customHeight="1" x14ac:dyDescent="0.25"/>
    <row r="1035" ht="15.75" customHeight="1" x14ac:dyDescent="0.25"/>
    <row r="1036" ht="15.75" customHeight="1" x14ac:dyDescent="0.25"/>
    <row r="1037" ht="15.75" customHeight="1" x14ac:dyDescent="0.25"/>
    <row r="1038" ht="15.75" customHeight="1" x14ac:dyDescent="0.25"/>
    <row r="1039" ht="15.75" customHeight="1" x14ac:dyDescent="0.25"/>
    <row r="1040" ht="15.75" customHeight="1" x14ac:dyDescent="0.25"/>
    <row r="1041" ht="15.75" customHeight="1" x14ac:dyDescent="0.25"/>
    <row r="1042" ht="15.75" customHeight="1" x14ac:dyDescent="0.25"/>
    <row r="1043" ht="15.75" customHeight="1" x14ac:dyDescent="0.25"/>
    <row r="1044" ht="15.75" customHeight="1" x14ac:dyDescent="0.25"/>
    <row r="1045" ht="15.75" customHeight="1" x14ac:dyDescent="0.25"/>
    <row r="1046" ht="15.75" customHeight="1" x14ac:dyDescent="0.25"/>
    <row r="1047" ht="15.75" customHeight="1" x14ac:dyDescent="0.25"/>
    <row r="1048" ht="15.75" customHeight="1" x14ac:dyDescent="0.25"/>
    <row r="1049" ht="15.75" customHeight="1" x14ac:dyDescent="0.25"/>
    <row r="1050" ht="15.75" customHeight="1" x14ac:dyDescent="0.25"/>
    <row r="1051" ht="15.75" customHeight="1" x14ac:dyDescent="0.25"/>
    <row r="1052" ht="15.75" customHeight="1" x14ac:dyDescent="0.25"/>
    <row r="1053" ht="15.75" customHeight="1" x14ac:dyDescent="0.25"/>
    <row r="1054" ht="15.75" customHeight="1" x14ac:dyDescent="0.25"/>
    <row r="1055" ht="15.75" customHeight="1" x14ac:dyDescent="0.25"/>
    <row r="1056" ht="15.75" customHeight="1" x14ac:dyDescent="0.25"/>
    <row r="1057" ht="15.75" customHeight="1" x14ac:dyDescent="0.25"/>
    <row r="1058" ht="15.75" customHeight="1" x14ac:dyDescent="0.25"/>
    <row r="1059" ht="15.75" customHeight="1" x14ac:dyDescent="0.25"/>
    <row r="1060" ht="15.75" customHeight="1" x14ac:dyDescent="0.25"/>
    <row r="1061" ht="15.75" customHeight="1" x14ac:dyDescent="0.25"/>
    <row r="1062" ht="15.75" customHeight="1" x14ac:dyDescent="0.25"/>
    <row r="1063" ht="15.75" customHeight="1" x14ac:dyDescent="0.25"/>
    <row r="1064" ht="15.75" customHeight="1" x14ac:dyDescent="0.25"/>
    <row r="1065" ht="15.75" customHeight="1" x14ac:dyDescent="0.25"/>
    <row r="1066" ht="15.75" customHeight="1" x14ac:dyDescent="0.25"/>
    <row r="1067" ht="15.75" customHeight="1" x14ac:dyDescent="0.25"/>
    <row r="1068" ht="15.75" customHeight="1" x14ac:dyDescent="0.25"/>
    <row r="1069" ht="15.75" customHeight="1" x14ac:dyDescent="0.25"/>
    <row r="1070" ht="15.75" customHeight="1" x14ac:dyDescent="0.25"/>
    <row r="1071" ht="15.75" customHeight="1" x14ac:dyDescent="0.25"/>
    <row r="1072" ht="15.75" customHeight="1" x14ac:dyDescent="0.25"/>
    <row r="1073" ht="15.75" customHeight="1" x14ac:dyDescent="0.25"/>
    <row r="1074" ht="15.75" customHeight="1" x14ac:dyDescent="0.25"/>
    <row r="1075" ht="15.75" customHeight="1" x14ac:dyDescent="0.25"/>
    <row r="1076" ht="15.75" customHeight="1" x14ac:dyDescent="0.25"/>
    <row r="1077" ht="15.75" customHeight="1" x14ac:dyDescent="0.25"/>
    <row r="1078" ht="15.75" customHeight="1" x14ac:dyDescent="0.25"/>
    <row r="1079" ht="15.75" customHeight="1" x14ac:dyDescent="0.25"/>
    <row r="1080" ht="15.75" customHeight="1" x14ac:dyDescent="0.25"/>
    <row r="1081" ht="15.75" customHeight="1" x14ac:dyDescent="0.25"/>
    <row r="1082" ht="15.75" customHeight="1" x14ac:dyDescent="0.25"/>
    <row r="1083" ht="15.75" customHeight="1" x14ac:dyDescent="0.25"/>
    <row r="1084" ht="15.75" customHeight="1" x14ac:dyDescent="0.25"/>
    <row r="1085" ht="15.75" customHeight="1" x14ac:dyDescent="0.25"/>
    <row r="1086" ht="15.75" customHeight="1" x14ac:dyDescent="0.25"/>
    <row r="1087" ht="15.75" customHeight="1" x14ac:dyDescent="0.25"/>
    <row r="1088" ht="15.75" customHeight="1" x14ac:dyDescent="0.25"/>
    <row r="1089" ht="15.75" customHeight="1" x14ac:dyDescent="0.25"/>
    <row r="1090" ht="15.75" customHeight="1" x14ac:dyDescent="0.25"/>
    <row r="1091" ht="15.75" customHeight="1" x14ac:dyDescent="0.25"/>
    <row r="1092" ht="15.75" customHeight="1" x14ac:dyDescent="0.25"/>
    <row r="1093" ht="15.75" customHeight="1" x14ac:dyDescent="0.25"/>
    <row r="1094" ht="15.75" customHeight="1" x14ac:dyDescent="0.25"/>
    <row r="1095" ht="15.75" customHeight="1" x14ac:dyDescent="0.25"/>
    <row r="1096" ht="15.75" customHeight="1" x14ac:dyDescent="0.25"/>
    <row r="1097" ht="15.75" customHeight="1" x14ac:dyDescent="0.25"/>
    <row r="1098" ht="15.75" customHeight="1" x14ac:dyDescent="0.25"/>
    <row r="1099" ht="15.75" customHeight="1" x14ac:dyDescent="0.25"/>
    <row r="1100" ht="15.75" customHeight="1" x14ac:dyDescent="0.25"/>
    <row r="1101" ht="15.75" customHeight="1" x14ac:dyDescent="0.25"/>
    <row r="1102" ht="15.75" customHeight="1" x14ac:dyDescent="0.25"/>
    <row r="1103" ht="15.75" customHeight="1" x14ac:dyDescent="0.25"/>
    <row r="1104" ht="15.75" customHeight="1" x14ac:dyDescent="0.25"/>
  </sheetData>
  <mergeCells count="58">
    <mergeCell ref="A47:B47"/>
    <mergeCell ref="A48:M48"/>
    <mergeCell ref="B1:D1"/>
    <mergeCell ref="A4:B4"/>
    <mergeCell ref="A5:M5"/>
    <mergeCell ref="A16:M16"/>
    <mergeCell ref="A26:M26"/>
    <mergeCell ref="A37:M37"/>
    <mergeCell ref="A39:M39"/>
    <mergeCell ref="A43:B43"/>
    <mergeCell ref="A44:M44"/>
    <mergeCell ref="A18:M18"/>
    <mergeCell ref="A22:B22"/>
    <mergeCell ref="A155:B155"/>
    <mergeCell ref="A91:B91"/>
    <mergeCell ref="A65:B65"/>
    <mergeCell ref="A68:B68"/>
    <mergeCell ref="A82:M82"/>
    <mergeCell ref="A86:B86"/>
    <mergeCell ref="A90:M90"/>
    <mergeCell ref="A113:B113"/>
    <mergeCell ref="A87:M87"/>
    <mergeCell ref="A131:B131"/>
    <mergeCell ref="A92:M92"/>
    <mergeCell ref="A103:M103"/>
    <mergeCell ref="A105:M105"/>
    <mergeCell ref="A142:G142"/>
    <mergeCell ref="A59:M59"/>
    <mergeCell ref="A61:M61"/>
    <mergeCell ref="A114:M114"/>
    <mergeCell ref="A125:M125"/>
    <mergeCell ref="A127:M127"/>
    <mergeCell ref="A80:M80"/>
    <mergeCell ref="A109:B109"/>
    <mergeCell ref="A69:M69"/>
    <mergeCell ref="A66:M66"/>
    <mergeCell ref="A67:I67"/>
    <mergeCell ref="J67:M67"/>
    <mergeCell ref="A146:G146"/>
    <mergeCell ref="A149:G149"/>
    <mergeCell ref="A152:G152"/>
    <mergeCell ref="A110:M110"/>
    <mergeCell ref="A132:M132"/>
    <mergeCell ref="A134:B134"/>
    <mergeCell ref="A133:G133"/>
    <mergeCell ref="A138:B138"/>
    <mergeCell ref="A140:G140"/>
    <mergeCell ref="A141:B141"/>
    <mergeCell ref="A112:I112"/>
    <mergeCell ref="J112:M112"/>
    <mergeCell ref="A3:I3"/>
    <mergeCell ref="J3:M3"/>
    <mergeCell ref="A24:I24"/>
    <mergeCell ref="J24:M24"/>
    <mergeCell ref="A46:I46"/>
    <mergeCell ref="J46:M46"/>
    <mergeCell ref="A25:B25"/>
    <mergeCell ref="A23:M23"/>
  </mergeCells>
  <printOptions horizontalCentered="1"/>
  <pageMargins left="0.51181102362204722" right="0.51181102362204722" top="0.78740157480314965" bottom="0.78740157480314965" header="0" footer="0"/>
  <pageSetup paperSize="9" scale="49" fitToHeight="0" orientation="landscape" r:id="rId1"/>
  <rowBreaks count="2" manualBreakCount="2">
    <brk id="44" max="16383" man="1"/>
    <brk id="87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0EF34-3FB6-4D37-96B2-C7282773918E}">
  <sheetPr>
    <tabColor rgb="FF92D050"/>
  </sheetPr>
  <dimension ref="B2:K19"/>
  <sheetViews>
    <sheetView workbookViewId="0"/>
  </sheetViews>
  <sheetFormatPr defaultRowHeight="15" x14ac:dyDescent="0.25"/>
  <cols>
    <col min="1" max="1" width="1.7109375" customWidth="1"/>
    <col min="2" max="2" width="16" customWidth="1"/>
    <col min="3" max="3" width="72.140625" customWidth="1"/>
    <col min="4" max="10" width="15.28515625" bestFit="1" customWidth="1"/>
    <col min="11" max="11" width="17.28515625" bestFit="1" customWidth="1"/>
  </cols>
  <sheetData>
    <row r="2" spans="2:11" x14ac:dyDescent="0.25">
      <c r="B2" t="s">
        <v>597</v>
      </c>
      <c r="C2" t="s">
        <v>598</v>
      </c>
      <c r="D2" t="s">
        <v>599</v>
      </c>
      <c r="E2" t="s">
        <v>161</v>
      </c>
      <c r="F2" t="s">
        <v>600</v>
      </c>
      <c r="G2" t="s">
        <v>319</v>
      </c>
      <c r="H2" t="s">
        <v>601</v>
      </c>
      <c r="I2" t="s">
        <v>602</v>
      </c>
      <c r="J2" t="s">
        <v>603</v>
      </c>
      <c r="K2" t="s">
        <v>604</v>
      </c>
    </row>
    <row r="3" spans="2:11" x14ac:dyDescent="0.25">
      <c r="B3" t="s">
        <v>605</v>
      </c>
      <c r="C3" t="s">
        <v>606</v>
      </c>
      <c r="D3" t="s">
        <v>607</v>
      </c>
      <c r="E3" t="s">
        <v>608</v>
      </c>
      <c r="F3" t="s">
        <v>609</v>
      </c>
      <c r="G3" t="s">
        <v>610</v>
      </c>
      <c r="H3" t="s">
        <v>610</v>
      </c>
      <c r="I3" t="s">
        <v>609</v>
      </c>
      <c r="J3" t="s">
        <v>611</v>
      </c>
      <c r="K3" t="s">
        <v>612</v>
      </c>
    </row>
    <row r="4" spans="2:11" x14ac:dyDescent="0.25">
      <c r="C4" t="s">
        <v>613</v>
      </c>
      <c r="D4" t="s">
        <v>614</v>
      </c>
      <c r="E4" t="s">
        <v>608</v>
      </c>
      <c r="F4" t="s">
        <v>610</v>
      </c>
      <c r="G4" t="s">
        <v>610</v>
      </c>
      <c r="H4" t="s">
        <v>610</v>
      </c>
      <c r="I4" t="s">
        <v>609</v>
      </c>
      <c r="J4" t="s">
        <v>611</v>
      </c>
      <c r="K4" t="s">
        <v>612</v>
      </c>
    </row>
    <row r="5" spans="2:11" x14ac:dyDescent="0.25">
      <c r="C5" t="s">
        <v>615</v>
      </c>
      <c r="D5" t="s">
        <v>612</v>
      </c>
      <c r="E5" t="s">
        <v>612</v>
      </c>
      <c r="F5" t="s">
        <v>612</v>
      </c>
      <c r="G5" t="s">
        <v>612</v>
      </c>
      <c r="I5" t="s">
        <v>610</v>
      </c>
      <c r="J5" t="s">
        <v>616</v>
      </c>
      <c r="K5" t="s">
        <v>612</v>
      </c>
    </row>
    <row r="6" spans="2:11" x14ac:dyDescent="0.25">
      <c r="C6" t="s">
        <v>617</v>
      </c>
      <c r="D6" t="s">
        <v>618</v>
      </c>
      <c r="E6" t="s">
        <v>618</v>
      </c>
      <c r="F6" t="s">
        <v>618</v>
      </c>
      <c r="G6" t="s">
        <v>618</v>
      </c>
      <c r="H6" t="s">
        <v>618</v>
      </c>
      <c r="I6" t="s">
        <v>618</v>
      </c>
      <c r="J6" t="s">
        <v>618</v>
      </c>
      <c r="K6" t="s">
        <v>612</v>
      </c>
    </row>
    <row r="7" spans="2:11" x14ac:dyDescent="0.25">
      <c r="B7" t="s">
        <v>619</v>
      </c>
      <c r="C7" t="s">
        <v>620</v>
      </c>
      <c r="D7" t="s">
        <v>612</v>
      </c>
      <c r="E7" t="s">
        <v>610</v>
      </c>
      <c r="F7" t="s">
        <v>610</v>
      </c>
      <c r="G7" t="s">
        <v>611</v>
      </c>
      <c r="H7" t="s">
        <v>610</v>
      </c>
      <c r="I7" t="s">
        <v>610</v>
      </c>
      <c r="J7" t="s">
        <v>616</v>
      </c>
      <c r="K7" t="s">
        <v>610</v>
      </c>
    </row>
    <row r="8" spans="2:11" x14ac:dyDescent="0.25">
      <c r="C8" t="s">
        <v>621</v>
      </c>
      <c r="D8" t="s">
        <v>612</v>
      </c>
      <c r="E8" t="s">
        <v>616</v>
      </c>
      <c r="F8" t="s">
        <v>616</v>
      </c>
      <c r="G8" t="s">
        <v>616</v>
      </c>
      <c r="H8" t="s">
        <v>616</v>
      </c>
      <c r="I8" t="s">
        <v>616</v>
      </c>
      <c r="J8" t="s">
        <v>616</v>
      </c>
      <c r="K8" t="s">
        <v>616</v>
      </c>
    </row>
    <row r="9" spans="2:11" x14ac:dyDescent="0.25">
      <c r="B9" t="s">
        <v>622</v>
      </c>
      <c r="C9" t="s">
        <v>623</v>
      </c>
      <c r="D9" t="s">
        <v>612</v>
      </c>
      <c r="E9" t="s">
        <v>616</v>
      </c>
      <c r="F9" t="s">
        <v>616</v>
      </c>
      <c r="G9" t="s">
        <v>616</v>
      </c>
      <c r="H9" t="s">
        <v>616</v>
      </c>
      <c r="I9" t="s">
        <v>616</v>
      </c>
      <c r="J9" t="s">
        <v>616</v>
      </c>
      <c r="K9" t="s">
        <v>610</v>
      </c>
    </row>
    <row r="10" spans="2:11" s="217" customFormat="1" x14ac:dyDescent="0.25">
      <c r="C10" s="217" t="s">
        <v>624</v>
      </c>
      <c r="D10" s="217" t="s">
        <v>612</v>
      </c>
      <c r="E10" s="217" t="s">
        <v>610</v>
      </c>
      <c r="F10" s="217" t="s">
        <v>610</v>
      </c>
      <c r="G10" s="217" t="s">
        <v>611</v>
      </c>
      <c r="H10" s="217" t="s">
        <v>610</v>
      </c>
      <c r="I10" s="217" t="s">
        <v>610</v>
      </c>
      <c r="J10" s="217" t="s">
        <v>612</v>
      </c>
      <c r="K10" s="217" t="s">
        <v>610</v>
      </c>
    </row>
    <row r="11" spans="2:11" x14ac:dyDescent="0.25">
      <c r="B11" t="s">
        <v>625</v>
      </c>
      <c r="C11" t="s">
        <v>626</v>
      </c>
      <c r="D11" t="s">
        <v>616</v>
      </c>
      <c r="E11" t="s">
        <v>618</v>
      </c>
      <c r="F11" t="s">
        <v>618</v>
      </c>
      <c r="G11" t="s">
        <v>616</v>
      </c>
      <c r="H11" t="s">
        <v>618</v>
      </c>
      <c r="I11" t="s">
        <v>618</v>
      </c>
      <c r="J11" t="s">
        <v>618</v>
      </c>
      <c r="K11" t="s">
        <v>618</v>
      </c>
    </row>
    <row r="12" spans="2:11" x14ac:dyDescent="0.25">
      <c r="C12" t="s">
        <v>627</v>
      </c>
      <c r="D12" t="s">
        <v>618</v>
      </c>
      <c r="E12" t="s">
        <v>618</v>
      </c>
      <c r="F12" t="s">
        <v>618</v>
      </c>
      <c r="G12" t="s">
        <v>618</v>
      </c>
      <c r="H12" t="s">
        <v>618</v>
      </c>
      <c r="I12" t="s">
        <v>618</v>
      </c>
      <c r="J12" t="s">
        <v>618</v>
      </c>
      <c r="K12" t="s">
        <v>618</v>
      </c>
    </row>
    <row r="13" spans="2:11" x14ac:dyDescent="0.25">
      <c r="C13" t="s">
        <v>628</v>
      </c>
      <c r="D13" t="s">
        <v>616</v>
      </c>
      <c r="E13" t="s">
        <v>618</v>
      </c>
      <c r="F13" t="s">
        <v>618</v>
      </c>
      <c r="G13" t="s">
        <v>616</v>
      </c>
      <c r="H13" t="s">
        <v>618</v>
      </c>
      <c r="I13" t="s">
        <v>618</v>
      </c>
      <c r="J13" t="s">
        <v>618</v>
      </c>
      <c r="K13" t="s">
        <v>616</v>
      </c>
    </row>
    <row r="14" spans="2:11" x14ac:dyDescent="0.25">
      <c r="B14" t="s">
        <v>629</v>
      </c>
      <c r="C14" t="s">
        <v>630</v>
      </c>
      <c r="D14" t="s">
        <v>631</v>
      </c>
      <c r="E14" t="s">
        <v>631</v>
      </c>
      <c r="F14" t="s">
        <v>611</v>
      </c>
      <c r="G14" t="s">
        <v>631</v>
      </c>
      <c r="H14" t="s">
        <v>609</v>
      </c>
      <c r="I14" t="s">
        <v>609</v>
      </c>
      <c r="J14" t="s">
        <v>631</v>
      </c>
      <c r="K14" t="s">
        <v>609</v>
      </c>
    </row>
    <row r="15" spans="2:11" x14ac:dyDescent="0.25">
      <c r="C15" t="s">
        <v>632</v>
      </c>
      <c r="D15" t="s">
        <v>631</v>
      </c>
      <c r="E15" t="s">
        <v>631</v>
      </c>
      <c r="F15" t="s">
        <v>611</v>
      </c>
      <c r="G15" t="s">
        <v>631</v>
      </c>
      <c r="H15" t="s">
        <v>609</v>
      </c>
      <c r="I15" t="s">
        <v>609</v>
      </c>
      <c r="J15" t="s">
        <v>631</v>
      </c>
      <c r="K15" t="s">
        <v>609</v>
      </c>
    </row>
    <row r="16" spans="2:11" x14ac:dyDescent="0.25">
      <c r="B16" t="s">
        <v>633</v>
      </c>
      <c r="C16" t="s">
        <v>634</v>
      </c>
      <c r="D16" t="s">
        <v>618</v>
      </c>
      <c r="E16" t="s">
        <v>618</v>
      </c>
      <c r="F16" t="s">
        <v>618</v>
      </c>
      <c r="G16" t="s">
        <v>618</v>
      </c>
      <c r="H16" t="s">
        <v>618</v>
      </c>
      <c r="I16" t="s">
        <v>618</v>
      </c>
      <c r="J16" t="s">
        <v>612</v>
      </c>
      <c r="K16" t="s">
        <v>618</v>
      </c>
    </row>
    <row r="17" spans="2:11" x14ac:dyDescent="0.25">
      <c r="C17" t="s">
        <v>635</v>
      </c>
      <c r="D17" t="s">
        <v>612</v>
      </c>
      <c r="E17" t="s">
        <v>616</v>
      </c>
      <c r="F17" t="s">
        <v>616</v>
      </c>
      <c r="G17" t="s">
        <v>616</v>
      </c>
      <c r="H17" t="s">
        <v>616</v>
      </c>
      <c r="I17" t="s">
        <v>616</v>
      </c>
      <c r="J17" t="s">
        <v>610</v>
      </c>
      <c r="K17" t="s">
        <v>616</v>
      </c>
    </row>
    <row r="18" spans="2:11" x14ac:dyDescent="0.25">
      <c r="B18" t="s">
        <v>636</v>
      </c>
      <c r="C18" t="s">
        <v>637</v>
      </c>
      <c r="D18" t="s">
        <v>631</v>
      </c>
      <c r="E18" t="s">
        <v>612</v>
      </c>
      <c r="F18" t="s">
        <v>612</v>
      </c>
      <c r="G18" t="s">
        <v>612</v>
      </c>
      <c r="H18" t="s">
        <v>612</v>
      </c>
      <c r="I18" t="s">
        <v>612</v>
      </c>
      <c r="J18" t="s">
        <v>612</v>
      </c>
      <c r="K18" t="s">
        <v>612</v>
      </c>
    </row>
    <row r="19" spans="2:11" x14ac:dyDescent="0.25">
      <c r="C19" t="s">
        <v>638</v>
      </c>
      <c r="D19" t="s">
        <v>610</v>
      </c>
      <c r="E19" t="s">
        <v>612</v>
      </c>
      <c r="F19" t="s">
        <v>612</v>
      </c>
      <c r="G19" t="s">
        <v>612</v>
      </c>
      <c r="H19" t="s">
        <v>612</v>
      </c>
      <c r="I19" t="s">
        <v>612</v>
      </c>
      <c r="J19" t="s">
        <v>612</v>
      </c>
      <c r="K19" t="s">
        <v>612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outlinePr summaryBelow="0"/>
    <pageSetUpPr fitToPage="1"/>
  </sheetPr>
  <dimension ref="A1:R1021"/>
  <sheetViews>
    <sheetView workbookViewId="0"/>
  </sheetViews>
  <sheetFormatPr defaultColWidth="14.42578125" defaultRowHeight="15" customHeight="1" outlineLevelRow="1" x14ac:dyDescent="0.25"/>
  <cols>
    <col min="1" max="1" width="9" style="36" customWidth="1"/>
    <col min="2" max="2" width="23.42578125" style="36" bestFit="1" customWidth="1"/>
    <col min="3" max="3" width="43.28515625" style="36" customWidth="1"/>
    <col min="4" max="5" width="10.7109375" style="36" customWidth="1"/>
    <col min="6" max="18" width="8.7109375" style="36" customWidth="1"/>
    <col min="19" max="16384" width="14.42578125" style="36"/>
  </cols>
  <sheetData>
    <row r="1" spans="1:18" s="54" customFormat="1" ht="40.5" customHeight="1" x14ac:dyDescent="0.25">
      <c r="A1" s="38"/>
      <c r="B1" s="285" t="s">
        <v>639</v>
      </c>
      <c r="C1" s="285"/>
      <c r="D1" s="37"/>
      <c r="E1" s="37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</row>
    <row r="2" spans="1:18" ht="15" customHeight="1" thickBot="1" x14ac:dyDescent="0.3">
      <c r="A2" s="283"/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</row>
    <row r="3" spans="1:18" ht="15.75" thickBot="1" x14ac:dyDescent="0.3">
      <c r="A3" s="287"/>
      <c r="B3" s="471" t="s">
        <v>54</v>
      </c>
      <c r="C3" s="470"/>
      <c r="D3" s="469" t="s">
        <v>1</v>
      </c>
      <c r="E3" s="470"/>
      <c r="F3" s="469"/>
      <c r="G3" s="470"/>
      <c r="H3" s="469"/>
      <c r="I3" s="470"/>
      <c r="J3" s="469"/>
      <c r="K3" s="470"/>
      <c r="L3" s="469"/>
      <c r="M3" s="470"/>
      <c r="N3" s="469"/>
      <c r="O3" s="470"/>
      <c r="P3" s="469"/>
      <c r="Q3" s="470"/>
      <c r="R3" s="288"/>
    </row>
    <row r="4" spans="1:18" s="55" customFormat="1" x14ac:dyDescent="0.25">
      <c r="A4" s="289"/>
      <c r="B4" s="71" t="s">
        <v>2</v>
      </c>
      <c r="C4" s="63" t="s">
        <v>640</v>
      </c>
      <c r="D4" s="475">
        <v>45292</v>
      </c>
      <c r="E4" s="476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</row>
    <row r="5" spans="1:18" s="55" customFormat="1" outlineLevel="1" x14ac:dyDescent="0.25">
      <c r="A5" s="290"/>
      <c r="B5" s="60"/>
      <c r="C5" s="64" t="s">
        <v>641</v>
      </c>
      <c r="D5" s="477" t="s">
        <v>642</v>
      </c>
      <c r="E5" s="478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</row>
    <row r="6" spans="1:18" s="55" customFormat="1" outlineLevel="1" x14ac:dyDescent="0.25">
      <c r="A6" s="290"/>
      <c r="B6" s="60"/>
      <c r="C6" s="64" t="s">
        <v>643</v>
      </c>
      <c r="D6" s="477">
        <v>45292</v>
      </c>
      <c r="E6" s="478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</row>
    <row r="7" spans="1:18" s="55" customFormat="1" outlineLevel="1" x14ac:dyDescent="0.25">
      <c r="A7" s="290"/>
      <c r="B7" s="61"/>
      <c r="C7" s="64" t="s">
        <v>644</v>
      </c>
      <c r="D7" s="465">
        <v>1540.51</v>
      </c>
      <c r="E7" s="466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</row>
    <row r="8" spans="1:18" s="55" customFormat="1" outlineLevel="1" x14ac:dyDescent="0.25">
      <c r="A8" s="290"/>
      <c r="B8" s="61"/>
      <c r="C8" s="64" t="s">
        <v>645</v>
      </c>
      <c r="D8" s="465">
        <v>1957.46</v>
      </c>
      <c r="E8" s="466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</row>
    <row r="9" spans="1:18" s="55" customFormat="1" outlineLevel="1" x14ac:dyDescent="0.25">
      <c r="A9" s="290"/>
      <c r="B9" s="61"/>
      <c r="C9" s="64" t="s">
        <v>646</v>
      </c>
      <c r="D9" s="465">
        <v>1816.57</v>
      </c>
      <c r="E9" s="466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</row>
    <row r="10" spans="1:18" s="55" customFormat="1" outlineLevel="1" x14ac:dyDescent="0.25">
      <c r="A10" s="290"/>
      <c r="B10" s="61"/>
      <c r="C10" s="64" t="s">
        <v>647</v>
      </c>
      <c r="D10" s="465">
        <f>D7*1.4</f>
        <v>2156.7139999999999</v>
      </c>
      <c r="E10" s="466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</row>
    <row r="11" spans="1:18" s="55" customFormat="1" outlineLevel="1" x14ac:dyDescent="0.25">
      <c r="A11" s="290"/>
      <c r="B11" s="61"/>
      <c r="C11" s="64" t="s">
        <v>648</v>
      </c>
      <c r="D11" s="465">
        <v>1412</v>
      </c>
      <c r="E11" s="466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</row>
    <row r="12" spans="1:18" s="55" customFormat="1" outlineLevel="1" x14ac:dyDescent="0.25">
      <c r="A12" s="290"/>
      <c r="B12" s="61"/>
      <c r="C12" s="64" t="s">
        <v>649</v>
      </c>
      <c r="D12" s="472">
        <v>0</v>
      </c>
      <c r="E12" s="466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</row>
    <row r="13" spans="1:18" s="55" customFormat="1" outlineLevel="1" x14ac:dyDescent="0.25">
      <c r="A13" s="290"/>
      <c r="B13" s="290"/>
      <c r="C13" s="291" t="s">
        <v>650</v>
      </c>
      <c r="D13" s="465">
        <v>5</v>
      </c>
      <c r="E13" s="466"/>
      <c r="F13" s="290"/>
      <c r="G13" s="290"/>
      <c r="H13" s="290"/>
      <c r="I13" s="290"/>
      <c r="J13" s="290"/>
      <c r="K13" s="290"/>
      <c r="L13" s="290"/>
      <c r="M13" s="290"/>
      <c r="N13" s="290"/>
      <c r="O13" s="290"/>
      <c r="P13" s="290"/>
      <c r="Q13" s="290"/>
      <c r="R13" s="290"/>
    </row>
    <row r="14" spans="1:18" s="55" customFormat="1" outlineLevel="1" x14ac:dyDescent="0.25">
      <c r="A14" s="290"/>
      <c r="B14" s="290"/>
      <c r="C14" s="291" t="s">
        <v>651</v>
      </c>
      <c r="D14" s="472">
        <v>1</v>
      </c>
      <c r="E14" s="466"/>
      <c r="F14" s="290"/>
      <c r="G14" s="290"/>
      <c r="H14" s="290"/>
      <c r="I14" s="290"/>
      <c r="J14" s="290"/>
      <c r="K14" s="290"/>
      <c r="L14" s="290"/>
      <c r="M14" s="290"/>
      <c r="N14" s="290"/>
      <c r="O14" s="290"/>
      <c r="P14" s="290"/>
      <c r="Q14" s="290"/>
      <c r="R14" s="290"/>
    </row>
    <row r="15" spans="1:18" s="55" customFormat="1" outlineLevel="1" x14ac:dyDescent="0.25">
      <c r="A15" s="290"/>
      <c r="B15" s="290"/>
      <c r="C15" s="291" t="s">
        <v>652</v>
      </c>
      <c r="D15" s="465">
        <v>23.68</v>
      </c>
      <c r="E15" s="466"/>
      <c r="F15" s="290"/>
      <c r="G15" s="290"/>
      <c r="H15" s="290"/>
      <c r="I15" s="290"/>
      <c r="J15" s="290"/>
      <c r="K15" s="290"/>
      <c r="L15" s="290"/>
      <c r="M15" s="290"/>
      <c r="N15" s="290"/>
      <c r="O15" s="290"/>
      <c r="P15" s="290"/>
      <c r="Q15" s="290"/>
      <c r="R15" s="290"/>
    </row>
    <row r="16" spans="1:18" s="55" customFormat="1" outlineLevel="1" x14ac:dyDescent="0.25">
      <c r="A16" s="290"/>
      <c r="B16" s="290"/>
      <c r="C16" s="291" t="s">
        <v>653</v>
      </c>
      <c r="D16" s="465">
        <v>11.84</v>
      </c>
      <c r="E16" s="466"/>
      <c r="F16" s="290"/>
      <c r="G16" s="290"/>
      <c r="H16" s="290"/>
      <c r="I16" s="290"/>
      <c r="J16" s="290"/>
      <c r="K16" s="290"/>
      <c r="L16" s="290"/>
      <c r="M16" s="290"/>
      <c r="N16" s="290"/>
      <c r="O16" s="290"/>
      <c r="P16" s="290"/>
      <c r="Q16" s="290"/>
      <c r="R16" s="290"/>
    </row>
    <row r="17" spans="1:18" s="55" customFormat="1" outlineLevel="1" x14ac:dyDescent="0.25">
      <c r="A17" s="290"/>
      <c r="B17" s="290"/>
      <c r="C17" s="291" t="s">
        <v>654</v>
      </c>
      <c r="D17" s="472">
        <v>0.19</v>
      </c>
      <c r="E17" s="466"/>
      <c r="F17" s="290"/>
      <c r="G17" s="290"/>
      <c r="H17" s="290"/>
      <c r="I17" s="290"/>
      <c r="J17" s="290"/>
      <c r="K17" s="290"/>
      <c r="L17" s="290"/>
      <c r="M17" s="290"/>
      <c r="N17" s="290"/>
      <c r="O17" s="290"/>
      <c r="P17" s="290"/>
      <c r="Q17" s="290"/>
      <c r="R17" s="290"/>
    </row>
    <row r="18" spans="1:18" s="55" customFormat="1" outlineLevel="1" x14ac:dyDescent="0.25">
      <c r="A18" s="290"/>
      <c r="B18" s="290"/>
      <c r="C18" s="291" t="s">
        <v>655</v>
      </c>
      <c r="D18" s="465">
        <v>19.420000000000002</v>
      </c>
      <c r="E18" s="466"/>
      <c r="F18" s="290"/>
      <c r="G18" s="290"/>
      <c r="H18" s="290"/>
      <c r="I18" s="290"/>
      <c r="J18" s="290"/>
      <c r="K18" s="290"/>
      <c r="L18" s="290"/>
      <c r="M18" s="290"/>
      <c r="N18" s="290"/>
      <c r="O18" s="290"/>
      <c r="P18" s="290"/>
      <c r="Q18" s="290"/>
      <c r="R18" s="290"/>
    </row>
    <row r="19" spans="1:18" s="55" customFormat="1" outlineLevel="1" x14ac:dyDescent="0.25">
      <c r="A19" s="290"/>
      <c r="B19" s="290"/>
      <c r="C19" s="291" t="s">
        <v>656</v>
      </c>
      <c r="D19" s="472">
        <v>0.04</v>
      </c>
      <c r="E19" s="466"/>
      <c r="F19" s="290"/>
      <c r="G19" s="290"/>
      <c r="H19" s="290"/>
      <c r="I19" s="290"/>
      <c r="J19" s="290"/>
      <c r="K19" s="290"/>
      <c r="L19" s="290"/>
      <c r="M19" s="290"/>
      <c r="N19" s="290"/>
      <c r="O19" s="290"/>
      <c r="P19" s="290"/>
      <c r="Q19" s="290"/>
      <c r="R19" s="290"/>
    </row>
    <row r="20" spans="1:18" s="55" customFormat="1" outlineLevel="1" x14ac:dyDescent="0.25">
      <c r="A20" s="290"/>
      <c r="B20" s="290"/>
      <c r="C20" s="291" t="s">
        <v>657</v>
      </c>
      <c r="D20" s="481">
        <v>1.6500000000000001E-2</v>
      </c>
      <c r="E20" s="466"/>
      <c r="F20" s="290"/>
      <c r="G20" s="290"/>
      <c r="H20" s="290"/>
      <c r="I20" s="290"/>
      <c r="J20" s="290"/>
      <c r="K20" s="290"/>
      <c r="L20" s="290"/>
      <c r="M20" s="290"/>
      <c r="N20" s="290"/>
      <c r="O20" s="290"/>
      <c r="P20" s="290"/>
      <c r="Q20" s="290"/>
      <c r="R20" s="290"/>
    </row>
    <row r="21" spans="1:18" s="55" customFormat="1" outlineLevel="1" x14ac:dyDescent="0.25">
      <c r="A21" s="290"/>
      <c r="B21" s="290"/>
      <c r="C21" s="291" t="s">
        <v>658</v>
      </c>
      <c r="D21" s="481">
        <v>7.5999999999999998E-2</v>
      </c>
      <c r="E21" s="466"/>
      <c r="F21" s="290"/>
      <c r="G21" s="290"/>
      <c r="H21" s="290"/>
      <c r="I21" s="290"/>
      <c r="J21" s="290"/>
      <c r="K21" s="290"/>
      <c r="L21" s="290"/>
      <c r="M21" s="290"/>
      <c r="N21" s="290"/>
      <c r="O21" s="290"/>
      <c r="P21" s="290"/>
      <c r="Q21" s="290"/>
      <c r="R21" s="290"/>
    </row>
    <row r="22" spans="1:18" s="55" customFormat="1" outlineLevel="1" x14ac:dyDescent="0.25">
      <c r="A22" s="290"/>
      <c r="B22" s="290"/>
      <c r="C22" s="291" t="s">
        <v>659</v>
      </c>
      <c r="D22" s="481">
        <v>0.03</v>
      </c>
      <c r="E22" s="466"/>
      <c r="F22" s="290"/>
      <c r="G22" s="290"/>
      <c r="H22" s="290"/>
      <c r="I22" s="290"/>
      <c r="J22" s="290"/>
      <c r="K22" s="290"/>
      <c r="L22" s="290"/>
      <c r="M22" s="290"/>
      <c r="N22" s="290"/>
      <c r="O22" s="290"/>
      <c r="P22" s="290"/>
      <c r="Q22" s="290"/>
      <c r="R22" s="290"/>
    </row>
    <row r="23" spans="1:18" s="55" customFormat="1" outlineLevel="1" x14ac:dyDescent="0.25">
      <c r="A23" s="290"/>
      <c r="B23" s="290"/>
      <c r="C23" s="291" t="s">
        <v>660</v>
      </c>
      <c r="D23" s="482">
        <v>2</v>
      </c>
      <c r="E23" s="466"/>
      <c r="F23" s="290"/>
      <c r="G23" s="290"/>
      <c r="H23" s="290"/>
      <c r="I23" s="290"/>
      <c r="J23" s="290"/>
      <c r="K23" s="290"/>
      <c r="L23" s="290"/>
      <c r="M23" s="290"/>
      <c r="N23" s="290"/>
      <c r="O23" s="290"/>
      <c r="P23" s="290"/>
      <c r="Q23" s="290"/>
      <c r="R23" s="290"/>
    </row>
    <row r="24" spans="1:18" s="55" customFormat="1" ht="15.75" outlineLevel="1" thickBot="1" x14ac:dyDescent="0.3">
      <c r="A24" s="292"/>
      <c r="B24" s="62"/>
      <c r="C24" s="65" t="s">
        <v>661</v>
      </c>
      <c r="D24" s="483">
        <v>7.6499999999999999E-2</v>
      </c>
      <c r="E24" s="484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</row>
    <row r="25" spans="1:18" s="56" customFormat="1" x14ac:dyDescent="0.25">
      <c r="A25" s="293"/>
      <c r="B25" s="72" t="s">
        <v>33</v>
      </c>
      <c r="C25" s="73" t="s">
        <v>662</v>
      </c>
      <c r="D25" s="485">
        <v>45292</v>
      </c>
      <c r="E25" s="486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</row>
    <row r="26" spans="1:18" s="56" customFormat="1" outlineLevel="1" x14ac:dyDescent="0.25">
      <c r="A26" s="294"/>
      <c r="B26" s="69"/>
      <c r="C26" s="74" t="s">
        <v>641</v>
      </c>
      <c r="D26" s="479" t="s">
        <v>663</v>
      </c>
      <c r="E26" s="480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</row>
    <row r="27" spans="1:18" s="56" customFormat="1" outlineLevel="1" x14ac:dyDescent="0.25">
      <c r="A27" s="294"/>
      <c r="B27" s="68"/>
      <c r="C27" s="74" t="s">
        <v>643</v>
      </c>
      <c r="D27" s="479">
        <v>45292</v>
      </c>
      <c r="E27" s="480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</row>
    <row r="28" spans="1:18" s="56" customFormat="1" outlineLevel="1" x14ac:dyDescent="0.25">
      <c r="A28" s="294"/>
      <c r="B28" s="69"/>
      <c r="C28" s="74" t="s">
        <v>644</v>
      </c>
      <c r="D28" s="457">
        <v>1540.51</v>
      </c>
      <c r="E28" s="458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</row>
    <row r="29" spans="1:18" s="56" customFormat="1" outlineLevel="1" x14ac:dyDescent="0.25">
      <c r="A29" s="294"/>
      <c r="B29" s="69"/>
      <c r="C29" s="74" t="s">
        <v>648</v>
      </c>
      <c r="D29" s="457">
        <v>1412</v>
      </c>
      <c r="E29" s="458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</row>
    <row r="30" spans="1:18" s="56" customFormat="1" outlineLevel="1" x14ac:dyDescent="0.25">
      <c r="A30" s="294"/>
      <c r="B30" s="69"/>
      <c r="C30" s="74" t="s">
        <v>649</v>
      </c>
      <c r="D30" s="473">
        <v>0</v>
      </c>
      <c r="E30" s="458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</row>
    <row r="31" spans="1:18" s="56" customFormat="1" ht="15.75" customHeight="1" outlineLevel="1" x14ac:dyDescent="0.25">
      <c r="A31" s="294"/>
      <c r="B31" s="294"/>
      <c r="C31" s="295" t="s">
        <v>650</v>
      </c>
      <c r="D31" s="457">
        <v>6</v>
      </c>
      <c r="E31" s="458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</row>
    <row r="32" spans="1:18" s="56" customFormat="1" ht="15.75" customHeight="1" outlineLevel="1" x14ac:dyDescent="0.25">
      <c r="A32" s="294"/>
      <c r="B32" s="294"/>
      <c r="C32" s="295" t="s">
        <v>651</v>
      </c>
      <c r="D32" s="473">
        <v>1</v>
      </c>
      <c r="E32" s="458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</row>
    <row r="33" spans="1:18" s="56" customFormat="1" ht="15.75" customHeight="1" outlineLevel="1" x14ac:dyDescent="0.25">
      <c r="A33" s="294"/>
      <c r="B33" s="294"/>
      <c r="C33" s="295" t="s">
        <v>652</v>
      </c>
      <c r="D33" s="457">
        <v>23.68</v>
      </c>
      <c r="E33" s="458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</row>
    <row r="34" spans="1:18" s="56" customFormat="1" ht="15.75" customHeight="1" outlineLevel="1" x14ac:dyDescent="0.25">
      <c r="A34" s="294"/>
      <c r="B34" s="294"/>
      <c r="C34" s="295" t="s">
        <v>653</v>
      </c>
      <c r="D34" s="457">
        <v>11.84</v>
      </c>
      <c r="E34" s="458"/>
      <c r="F34" s="294"/>
      <c r="G34" s="294"/>
      <c r="H34" s="294"/>
      <c r="I34" s="294"/>
      <c r="J34" s="294"/>
      <c r="K34" s="294"/>
      <c r="L34" s="294"/>
      <c r="M34" s="294"/>
      <c r="N34" s="294"/>
      <c r="O34" s="294"/>
      <c r="P34" s="294"/>
      <c r="Q34" s="294"/>
      <c r="R34" s="294"/>
    </row>
    <row r="35" spans="1:18" s="56" customFormat="1" ht="15.75" customHeight="1" outlineLevel="1" x14ac:dyDescent="0.25">
      <c r="A35" s="294"/>
      <c r="B35" s="294"/>
      <c r="C35" s="295" t="s">
        <v>654</v>
      </c>
      <c r="D35" s="473">
        <v>0.19</v>
      </c>
      <c r="E35" s="458"/>
      <c r="F35" s="294"/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94"/>
      <c r="R35" s="294"/>
    </row>
    <row r="36" spans="1:18" s="56" customFormat="1" ht="15.75" customHeight="1" outlineLevel="1" x14ac:dyDescent="0.25">
      <c r="A36" s="294"/>
      <c r="B36" s="294"/>
      <c r="C36" s="295" t="s">
        <v>655</v>
      </c>
      <c r="D36" s="457">
        <v>19.420000000000002</v>
      </c>
      <c r="E36" s="458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</row>
    <row r="37" spans="1:18" s="56" customFormat="1" ht="15.75" customHeight="1" outlineLevel="1" x14ac:dyDescent="0.25">
      <c r="A37" s="294"/>
      <c r="B37" s="294"/>
      <c r="C37" s="295" t="s">
        <v>656</v>
      </c>
      <c r="D37" s="473">
        <v>0.03</v>
      </c>
      <c r="E37" s="458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</row>
    <row r="38" spans="1:18" s="56" customFormat="1" ht="15.75" customHeight="1" outlineLevel="1" x14ac:dyDescent="0.25">
      <c r="A38" s="294"/>
      <c r="B38" s="294"/>
      <c r="C38" s="295" t="s">
        <v>657</v>
      </c>
      <c r="D38" s="502">
        <v>1.6500000000000001E-2</v>
      </c>
      <c r="E38" s="458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</row>
    <row r="39" spans="1:18" s="56" customFormat="1" ht="15.75" customHeight="1" outlineLevel="1" x14ac:dyDescent="0.25">
      <c r="A39" s="294"/>
      <c r="B39" s="294"/>
      <c r="C39" s="295" t="s">
        <v>658</v>
      </c>
      <c r="D39" s="502">
        <v>7.5999999999999998E-2</v>
      </c>
      <c r="E39" s="458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</row>
    <row r="40" spans="1:18" s="56" customFormat="1" ht="15.75" customHeight="1" outlineLevel="1" x14ac:dyDescent="0.25">
      <c r="A40" s="294"/>
      <c r="B40" s="294"/>
      <c r="C40" s="295" t="s">
        <v>659</v>
      </c>
      <c r="D40" s="502">
        <v>0.03</v>
      </c>
      <c r="E40" s="458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</row>
    <row r="41" spans="1:18" s="56" customFormat="1" ht="15.75" customHeight="1" outlineLevel="1" x14ac:dyDescent="0.25">
      <c r="A41" s="294"/>
      <c r="B41" s="294"/>
      <c r="C41" s="295" t="s">
        <v>660</v>
      </c>
      <c r="D41" s="487">
        <v>2</v>
      </c>
      <c r="E41" s="458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</row>
    <row r="42" spans="1:18" s="56" customFormat="1" ht="15.75" customHeight="1" outlineLevel="1" thickBot="1" x14ac:dyDescent="0.3">
      <c r="A42" s="296"/>
      <c r="B42" s="70"/>
      <c r="C42" s="75" t="s">
        <v>661</v>
      </c>
      <c r="D42" s="488">
        <v>7.6499999999999999E-2</v>
      </c>
      <c r="E42" s="489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</row>
    <row r="43" spans="1:18" s="57" customFormat="1" x14ac:dyDescent="0.25">
      <c r="A43" s="297"/>
      <c r="B43" s="76" t="s">
        <v>35</v>
      </c>
      <c r="C43" s="105" t="s">
        <v>664</v>
      </c>
      <c r="D43" s="490">
        <v>45292</v>
      </c>
      <c r="E43" s="491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</row>
    <row r="44" spans="1:18" s="57" customFormat="1" ht="15.75" customHeight="1" outlineLevel="1" x14ac:dyDescent="0.25">
      <c r="A44" s="298"/>
      <c r="B44" s="78"/>
      <c r="C44" s="104" t="s">
        <v>641</v>
      </c>
      <c r="D44" s="500" t="s">
        <v>665</v>
      </c>
      <c r="E44" s="501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</row>
    <row r="45" spans="1:18" s="57" customFormat="1" outlineLevel="1" x14ac:dyDescent="0.25">
      <c r="A45" s="298"/>
      <c r="B45" s="77"/>
      <c r="C45" s="79" t="s">
        <v>643</v>
      </c>
      <c r="D45" s="492">
        <v>45292</v>
      </c>
      <c r="E45" s="493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</row>
    <row r="46" spans="1:18" s="57" customFormat="1" ht="15.75" customHeight="1" outlineLevel="1" x14ac:dyDescent="0.25">
      <c r="A46" s="298"/>
      <c r="B46" s="78"/>
      <c r="C46" s="79" t="s">
        <v>644</v>
      </c>
      <c r="D46" s="459">
        <v>1540.51</v>
      </c>
      <c r="E46" s="460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</row>
    <row r="47" spans="1:18" s="57" customFormat="1" ht="15.75" customHeight="1" outlineLevel="1" x14ac:dyDescent="0.25">
      <c r="A47" s="298"/>
      <c r="B47" s="298"/>
      <c r="C47" s="79" t="s">
        <v>648</v>
      </c>
      <c r="D47" s="459">
        <v>1412</v>
      </c>
      <c r="E47" s="460"/>
      <c r="F47" s="298"/>
      <c r="G47" s="298"/>
      <c r="H47" s="298"/>
      <c r="I47" s="298"/>
      <c r="J47" s="298"/>
      <c r="K47" s="298"/>
      <c r="L47" s="298"/>
      <c r="M47" s="298"/>
      <c r="N47" s="298"/>
      <c r="O47" s="298"/>
      <c r="P47" s="298"/>
      <c r="Q47" s="298"/>
      <c r="R47" s="298"/>
    </row>
    <row r="48" spans="1:18" s="57" customFormat="1" ht="15.75" customHeight="1" outlineLevel="1" x14ac:dyDescent="0.25">
      <c r="A48" s="298"/>
      <c r="B48" s="298"/>
      <c r="C48" s="79" t="s">
        <v>649</v>
      </c>
      <c r="D48" s="474">
        <v>0</v>
      </c>
      <c r="E48" s="460"/>
      <c r="F48" s="298"/>
      <c r="G48" s="298"/>
      <c r="H48" s="298"/>
      <c r="I48" s="298"/>
      <c r="J48" s="298"/>
      <c r="K48" s="298"/>
      <c r="L48" s="298"/>
      <c r="M48" s="298"/>
      <c r="N48" s="298"/>
      <c r="O48" s="298"/>
      <c r="P48" s="298"/>
      <c r="Q48" s="298"/>
      <c r="R48" s="298"/>
    </row>
    <row r="49" spans="1:18" s="57" customFormat="1" ht="15.75" customHeight="1" outlineLevel="1" x14ac:dyDescent="0.25">
      <c r="A49" s="298"/>
      <c r="B49" s="298"/>
      <c r="C49" s="299" t="s">
        <v>650</v>
      </c>
      <c r="D49" s="459">
        <v>3.7</v>
      </c>
      <c r="E49" s="460"/>
      <c r="F49" s="298"/>
      <c r="G49" s="298"/>
      <c r="H49" s="298"/>
      <c r="I49" s="298"/>
      <c r="J49" s="298"/>
      <c r="K49" s="298"/>
      <c r="L49" s="298"/>
      <c r="M49" s="298"/>
      <c r="N49" s="298"/>
      <c r="O49" s="298"/>
      <c r="P49" s="298"/>
      <c r="Q49" s="298"/>
      <c r="R49" s="298"/>
    </row>
    <row r="50" spans="1:18" s="57" customFormat="1" ht="15.75" customHeight="1" outlineLevel="1" x14ac:dyDescent="0.25">
      <c r="A50" s="298"/>
      <c r="B50" s="298"/>
      <c r="C50" s="299" t="s">
        <v>651</v>
      </c>
      <c r="D50" s="474">
        <v>1</v>
      </c>
      <c r="E50" s="460"/>
      <c r="F50" s="298"/>
      <c r="G50" s="298"/>
      <c r="H50" s="298"/>
      <c r="I50" s="298"/>
      <c r="J50" s="298"/>
      <c r="K50" s="298"/>
      <c r="L50" s="298"/>
      <c r="M50" s="298"/>
      <c r="N50" s="298"/>
      <c r="O50" s="298"/>
      <c r="P50" s="298"/>
      <c r="Q50" s="298"/>
      <c r="R50" s="298"/>
    </row>
    <row r="51" spans="1:18" s="57" customFormat="1" ht="15.75" customHeight="1" outlineLevel="1" x14ac:dyDescent="0.25">
      <c r="A51" s="298"/>
      <c r="B51" s="298"/>
      <c r="C51" s="299" t="s">
        <v>652</v>
      </c>
      <c r="D51" s="459">
        <v>23.68</v>
      </c>
      <c r="E51" s="460"/>
      <c r="F51" s="298"/>
      <c r="G51" s="298"/>
      <c r="H51" s="298"/>
      <c r="I51" s="298"/>
      <c r="J51" s="298"/>
      <c r="K51" s="298"/>
      <c r="L51" s="298"/>
      <c r="M51" s="298"/>
      <c r="N51" s="298"/>
      <c r="O51" s="298"/>
      <c r="P51" s="298"/>
      <c r="Q51" s="298"/>
      <c r="R51" s="298"/>
    </row>
    <row r="52" spans="1:18" s="57" customFormat="1" ht="15.75" customHeight="1" outlineLevel="1" x14ac:dyDescent="0.25">
      <c r="A52" s="298"/>
      <c r="B52" s="298"/>
      <c r="C52" s="299" t="s">
        <v>653</v>
      </c>
      <c r="D52" s="459">
        <v>11.84</v>
      </c>
      <c r="E52" s="460"/>
      <c r="F52" s="298"/>
      <c r="G52" s="298"/>
      <c r="H52" s="298"/>
      <c r="I52" s="298"/>
      <c r="J52" s="298"/>
      <c r="K52" s="298"/>
      <c r="L52" s="298"/>
      <c r="M52" s="298"/>
      <c r="N52" s="298"/>
      <c r="O52" s="298"/>
      <c r="P52" s="298"/>
      <c r="Q52" s="298"/>
      <c r="R52" s="298"/>
    </row>
    <row r="53" spans="1:18" s="57" customFormat="1" ht="15.75" customHeight="1" outlineLevel="1" x14ac:dyDescent="0.25">
      <c r="A53" s="298"/>
      <c r="B53" s="298"/>
      <c r="C53" s="299" t="s">
        <v>654</v>
      </c>
      <c r="D53" s="474">
        <v>0.19</v>
      </c>
      <c r="E53" s="460"/>
      <c r="F53" s="298"/>
      <c r="G53" s="298"/>
      <c r="H53" s="298"/>
      <c r="I53" s="298"/>
      <c r="J53" s="298"/>
      <c r="K53" s="298"/>
      <c r="L53" s="298"/>
      <c r="M53" s="298"/>
      <c r="N53" s="298"/>
      <c r="O53" s="298"/>
      <c r="P53" s="298"/>
      <c r="Q53" s="298"/>
      <c r="R53" s="298"/>
    </row>
    <row r="54" spans="1:18" s="57" customFormat="1" ht="15.75" customHeight="1" outlineLevel="1" x14ac:dyDescent="0.25">
      <c r="A54" s="298"/>
      <c r="B54" s="298"/>
      <c r="C54" s="299" t="s">
        <v>655</v>
      </c>
      <c r="D54" s="459">
        <v>19.420000000000002</v>
      </c>
      <c r="E54" s="460"/>
      <c r="F54" s="298"/>
      <c r="G54" s="298"/>
      <c r="H54" s="298"/>
      <c r="I54" s="298"/>
      <c r="J54" s="298"/>
      <c r="K54" s="298"/>
      <c r="L54" s="298"/>
      <c r="M54" s="298"/>
      <c r="N54" s="298"/>
      <c r="O54" s="298"/>
      <c r="P54" s="298"/>
      <c r="Q54" s="298"/>
      <c r="R54" s="298"/>
    </row>
    <row r="55" spans="1:18" s="57" customFormat="1" ht="15.75" customHeight="1" outlineLevel="1" x14ac:dyDescent="0.25">
      <c r="A55" s="298"/>
      <c r="B55" s="298"/>
      <c r="C55" s="299" t="s">
        <v>656</v>
      </c>
      <c r="D55" s="474">
        <v>0.02</v>
      </c>
      <c r="E55" s="460"/>
      <c r="F55" s="298"/>
      <c r="G55" s="298"/>
      <c r="H55" s="298"/>
      <c r="I55" s="298"/>
      <c r="J55" s="298"/>
      <c r="K55" s="298"/>
      <c r="L55" s="298"/>
      <c r="M55" s="298"/>
      <c r="N55" s="298"/>
      <c r="O55" s="298"/>
      <c r="P55" s="298"/>
      <c r="Q55" s="298"/>
      <c r="R55" s="298"/>
    </row>
    <row r="56" spans="1:18" s="57" customFormat="1" ht="15.75" customHeight="1" outlineLevel="1" x14ac:dyDescent="0.25">
      <c r="A56" s="298"/>
      <c r="B56" s="298"/>
      <c r="C56" s="299" t="s">
        <v>657</v>
      </c>
      <c r="D56" s="515">
        <v>1.6500000000000001E-2</v>
      </c>
      <c r="E56" s="460"/>
      <c r="F56" s="298"/>
      <c r="G56" s="298"/>
      <c r="H56" s="298"/>
      <c r="I56" s="298"/>
      <c r="J56" s="298"/>
      <c r="K56" s="298"/>
      <c r="L56" s="298"/>
      <c r="M56" s="298"/>
      <c r="N56" s="298"/>
      <c r="O56" s="298"/>
      <c r="P56" s="298"/>
      <c r="Q56" s="298"/>
      <c r="R56" s="298"/>
    </row>
    <row r="57" spans="1:18" s="57" customFormat="1" ht="15.75" customHeight="1" outlineLevel="1" x14ac:dyDescent="0.25">
      <c r="A57" s="298"/>
      <c r="B57" s="298"/>
      <c r="C57" s="299" t="s">
        <v>658</v>
      </c>
      <c r="D57" s="515">
        <v>7.5999999999999998E-2</v>
      </c>
      <c r="E57" s="460"/>
      <c r="F57" s="298"/>
      <c r="G57" s="298"/>
      <c r="H57" s="298"/>
      <c r="I57" s="298"/>
      <c r="J57" s="298"/>
      <c r="K57" s="298"/>
      <c r="L57" s="298"/>
      <c r="M57" s="298"/>
      <c r="N57" s="298"/>
      <c r="O57" s="298"/>
      <c r="P57" s="298"/>
      <c r="Q57" s="298"/>
      <c r="R57" s="298"/>
    </row>
    <row r="58" spans="1:18" s="57" customFormat="1" ht="15.75" customHeight="1" outlineLevel="1" x14ac:dyDescent="0.25">
      <c r="A58" s="298"/>
      <c r="B58" s="298"/>
      <c r="C58" s="299" t="s">
        <v>659</v>
      </c>
      <c r="D58" s="515">
        <v>0.03</v>
      </c>
      <c r="E58" s="460"/>
      <c r="F58" s="298"/>
      <c r="G58" s="298"/>
      <c r="H58" s="298"/>
      <c r="I58" s="298"/>
      <c r="J58" s="298"/>
      <c r="K58" s="298"/>
      <c r="L58" s="298"/>
      <c r="M58" s="298"/>
      <c r="N58" s="298"/>
      <c r="O58" s="298"/>
      <c r="P58" s="298"/>
      <c r="Q58" s="298"/>
      <c r="R58" s="298"/>
    </row>
    <row r="59" spans="1:18" s="57" customFormat="1" ht="15.75" customHeight="1" outlineLevel="1" x14ac:dyDescent="0.25">
      <c r="A59" s="298"/>
      <c r="B59" s="298"/>
      <c r="C59" s="299" t="s">
        <v>660</v>
      </c>
      <c r="D59" s="523">
        <v>2</v>
      </c>
      <c r="E59" s="460"/>
      <c r="F59" s="298"/>
      <c r="G59" s="298"/>
      <c r="H59" s="298"/>
      <c r="I59" s="298"/>
      <c r="J59" s="298"/>
      <c r="K59" s="298"/>
      <c r="L59" s="298"/>
      <c r="M59" s="298"/>
      <c r="N59" s="298"/>
      <c r="O59" s="298"/>
      <c r="P59" s="298"/>
      <c r="Q59" s="298"/>
      <c r="R59" s="298"/>
    </row>
    <row r="60" spans="1:18" s="80" customFormat="1" ht="15.75" customHeight="1" outlineLevel="1" thickBot="1" x14ac:dyDescent="0.3">
      <c r="A60" s="300"/>
      <c r="B60" s="106"/>
      <c r="C60" s="107" t="s">
        <v>661</v>
      </c>
      <c r="D60" s="524">
        <v>7.6499999999999999E-2</v>
      </c>
      <c r="E60" s="525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</row>
    <row r="61" spans="1:18" s="58" customFormat="1" ht="15.75" customHeight="1" thickBot="1" x14ac:dyDescent="0.3">
      <c r="A61" s="301"/>
      <c r="B61" s="81" t="s">
        <v>36</v>
      </c>
      <c r="C61" s="82" t="s">
        <v>664</v>
      </c>
      <c r="D61" s="520">
        <v>45292</v>
      </c>
      <c r="E61" s="521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</row>
    <row r="62" spans="1:18" s="58" customFormat="1" ht="15.75" customHeight="1" outlineLevel="1" x14ac:dyDescent="0.25">
      <c r="A62" s="302"/>
      <c r="B62" s="84"/>
      <c r="C62" s="85" t="s">
        <v>641</v>
      </c>
      <c r="D62" s="513" t="s">
        <v>665</v>
      </c>
      <c r="E62" s="51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</row>
    <row r="63" spans="1:18" s="58" customFormat="1" outlineLevel="1" x14ac:dyDescent="0.25">
      <c r="A63" s="302"/>
      <c r="B63" s="83"/>
      <c r="C63" s="86" t="s">
        <v>643</v>
      </c>
      <c r="D63" s="494">
        <v>45292</v>
      </c>
      <c r="E63" s="495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</row>
    <row r="64" spans="1:18" s="58" customFormat="1" ht="15.75" customHeight="1" outlineLevel="1" x14ac:dyDescent="0.25">
      <c r="A64" s="302"/>
      <c r="B64" s="84"/>
      <c r="C64" s="86" t="s">
        <v>644</v>
      </c>
      <c r="D64" s="461">
        <v>1540.51</v>
      </c>
      <c r="E64" s="462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</row>
    <row r="65" spans="1:18" s="58" customFormat="1" ht="15.75" customHeight="1" outlineLevel="1" x14ac:dyDescent="0.25">
      <c r="A65" s="302"/>
      <c r="B65" s="302"/>
      <c r="C65" s="86" t="s">
        <v>648</v>
      </c>
      <c r="D65" s="461">
        <v>1412</v>
      </c>
      <c r="E65" s="462"/>
      <c r="F65" s="302"/>
      <c r="G65" s="302"/>
      <c r="H65" s="302"/>
      <c r="I65" s="302"/>
      <c r="J65" s="302"/>
      <c r="K65" s="302"/>
      <c r="L65" s="302"/>
      <c r="M65" s="302"/>
      <c r="N65" s="302"/>
      <c r="O65" s="302"/>
      <c r="P65" s="302"/>
      <c r="Q65" s="302"/>
      <c r="R65" s="302"/>
    </row>
    <row r="66" spans="1:18" s="58" customFormat="1" ht="15.75" customHeight="1" outlineLevel="1" x14ac:dyDescent="0.25">
      <c r="A66" s="302"/>
      <c r="B66" s="302"/>
      <c r="C66" s="86" t="s">
        <v>649</v>
      </c>
      <c r="D66" s="522">
        <v>0</v>
      </c>
      <c r="E66" s="462"/>
      <c r="F66" s="302"/>
      <c r="G66" s="302"/>
      <c r="H66" s="302"/>
      <c r="I66" s="302"/>
      <c r="J66" s="302"/>
      <c r="K66" s="302"/>
      <c r="L66" s="302"/>
      <c r="M66" s="302"/>
      <c r="N66" s="302"/>
      <c r="O66" s="302"/>
      <c r="P66" s="302"/>
      <c r="Q66" s="302"/>
      <c r="R66" s="302"/>
    </row>
    <row r="67" spans="1:18" s="58" customFormat="1" ht="15.75" customHeight="1" outlineLevel="1" x14ac:dyDescent="0.25">
      <c r="A67" s="302"/>
      <c r="B67" s="302"/>
      <c r="C67" s="303" t="s">
        <v>650</v>
      </c>
      <c r="D67" s="461">
        <v>4</v>
      </c>
      <c r="E67" s="533"/>
      <c r="F67" s="302"/>
      <c r="G67" s="302"/>
      <c r="H67" s="302"/>
      <c r="I67" s="302"/>
      <c r="J67" s="302"/>
      <c r="K67" s="302"/>
      <c r="L67" s="302"/>
      <c r="M67" s="302"/>
      <c r="N67" s="302"/>
      <c r="O67" s="302"/>
      <c r="P67" s="302"/>
      <c r="Q67" s="302"/>
      <c r="R67" s="302"/>
    </row>
    <row r="68" spans="1:18" s="58" customFormat="1" ht="15.75" customHeight="1" outlineLevel="1" x14ac:dyDescent="0.25">
      <c r="A68" s="302"/>
      <c r="B68" s="302"/>
      <c r="C68" s="303" t="s">
        <v>651</v>
      </c>
      <c r="D68" s="522">
        <v>1</v>
      </c>
      <c r="E68" s="534"/>
      <c r="F68" s="302"/>
      <c r="G68" s="302"/>
      <c r="H68" s="302"/>
      <c r="I68" s="302"/>
      <c r="J68" s="302"/>
      <c r="K68" s="302"/>
      <c r="L68" s="302"/>
      <c r="M68" s="302"/>
      <c r="N68" s="302"/>
      <c r="O68" s="302"/>
      <c r="P68" s="302"/>
      <c r="Q68" s="302"/>
      <c r="R68" s="302"/>
    </row>
    <row r="69" spans="1:18" s="58" customFormat="1" ht="15.75" customHeight="1" outlineLevel="1" x14ac:dyDescent="0.25">
      <c r="A69" s="302"/>
      <c r="B69" s="302"/>
      <c r="C69" s="303" t="s">
        <v>652</v>
      </c>
      <c r="D69" s="461">
        <v>23.68</v>
      </c>
      <c r="E69" s="533"/>
      <c r="F69" s="302"/>
      <c r="G69" s="302"/>
      <c r="H69" s="302"/>
      <c r="I69" s="302"/>
      <c r="J69" s="302"/>
      <c r="K69" s="302"/>
      <c r="L69" s="302"/>
      <c r="M69" s="302"/>
      <c r="N69" s="302"/>
      <c r="O69" s="302"/>
      <c r="P69" s="302"/>
      <c r="Q69" s="302"/>
      <c r="R69" s="302"/>
    </row>
    <row r="70" spans="1:18" s="58" customFormat="1" ht="15.75" customHeight="1" outlineLevel="1" x14ac:dyDescent="0.25">
      <c r="A70" s="302"/>
      <c r="B70" s="302"/>
      <c r="C70" s="303" t="s">
        <v>653</v>
      </c>
      <c r="D70" s="461">
        <v>11.84</v>
      </c>
      <c r="E70" s="533"/>
      <c r="F70" s="302"/>
      <c r="G70" s="302"/>
      <c r="H70" s="302"/>
      <c r="I70" s="302"/>
      <c r="J70" s="302"/>
      <c r="K70" s="302"/>
      <c r="L70" s="302"/>
      <c r="M70" s="302"/>
      <c r="N70" s="302"/>
      <c r="O70" s="302"/>
      <c r="P70" s="302"/>
      <c r="Q70" s="302"/>
      <c r="R70" s="302"/>
    </row>
    <row r="71" spans="1:18" s="58" customFormat="1" ht="15.75" customHeight="1" outlineLevel="1" x14ac:dyDescent="0.25">
      <c r="A71" s="302"/>
      <c r="B71" s="302"/>
      <c r="C71" s="303" t="s">
        <v>654</v>
      </c>
      <c r="D71" s="522">
        <v>0.19</v>
      </c>
      <c r="E71" s="534"/>
      <c r="F71" s="302"/>
      <c r="G71" s="302"/>
      <c r="H71" s="302"/>
      <c r="I71" s="302"/>
      <c r="J71" s="302"/>
      <c r="K71" s="302"/>
      <c r="L71" s="302"/>
      <c r="M71" s="302"/>
      <c r="N71" s="302"/>
      <c r="O71" s="302"/>
      <c r="P71" s="302"/>
      <c r="Q71" s="302"/>
      <c r="R71" s="302"/>
    </row>
    <row r="72" spans="1:18" s="58" customFormat="1" ht="15.75" customHeight="1" outlineLevel="1" x14ac:dyDescent="0.25">
      <c r="A72" s="302"/>
      <c r="B72" s="302"/>
      <c r="C72" s="303" t="s">
        <v>655</v>
      </c>
      <c r="D72" s="461">
        <v>19.420000000000002</v>
      </c>
      <c r="E72" s="462"/>
      <c r="F72" s="302"/>
      <c r="G72" s="302"/>
      <c r="H72" s="302"/>
      <c r="I72" s="302"/>
      <c r="J72" s="302"/>
      <c r="K72" s="302"/>
      <c r="L72" s="302"/>
      <c r="M72" s="302"/>
      <c r="N72" s="302"/>
      <c r="O72" s="302"/>
      <c r="P72" s="302"/>
      <c r="Q72" s="302"/>
      <c r="R72" s="302"/>
    </row>
    <row r="73" spans="1:18" s="58" customFormat="1" ht="15.75" customHeight="1" outlineLevel="1" x14ac:dyDescent="0.25">
      <c r="A73" s="302"/>
      <c r="B73" s="302"/>
      <c r="C73" s="303" t="s">
        <v>656</v>
      </c>
      <c r="D73" s="522">
        <v>0.03</v>
      </c>
      <c r="E73" s="534"/>
      <c r="F73" s="302"/>
      <c r="G73" s="302"/>
      <c r="H73" s="302"/>
      <c r="I73" s="302"/>
      <c r="J73" s="302"/>
      <c r="K73" s="302"/>
      <c r="L73" s="302"/>
      <c r="M73" s="302"/>
      <c r="N73" s="302"/>
      <c r="O73" s="302"/>
      <c r="P73" s="302"/>
      <c r="Q73" s="302"/>
      <c r="R73" s="302"/>
    </row>
    <row r="74" spans="1:18" s="58" customFormat="1" ht="15.75" customHeight="1" outlineLevel="1" x14ac:dyDescent="0.25">
      <c r="A74" s="302"/>
      <c r="B74" s="302"/>
      <c r="C74" s="303" t="s">
        <v>657</v>
      </c>
      <c r="D74" s="518">
        <v>1.6500000000000001E-2</v>
      </c>
      <c r="E74" s="519"/>
      <c r="F74" s="302"/>
      <c r="G74" s="302"/>
      <c r="H74" s="302"/>
      <c r="I74" s="302"/>
      <c r="J74" s="302"/>
      <c r="K74" s="302"/>
      <c r="L74" s="302"/>
      <c r="M74" s="302"/>
      <c r="N74" s="302"/>
      <c r="O74" s="302"/>
      <c r="P74" s="302"/>
      <c r="Q74" s="302"/>
      <c r="R74" s="302"/>
    </row>
    <row r="75" spans="1:18" s="58" customFormat="1" ht="15.75" customHeight="1" outlineLevel="1" x14ac:dyDescent="0.25">
      <c r="A75" s="302"/>
      <c r="B75" s="302"/>
      <c r="C75" s="303" t="s">
        <v>658</v>
      </c>
      <c r="D75" s="518">
        <v>7.5999999999999998E-2</v>
      </c>
      <c r="E75" s="519"/>
      <c r="F75" s="302"/>
      <c r="G75" s="302"/>
      <c r="H75" s="302"/>
      <c r="I75" s="302"/>
      <c r="J75" s="302"/>
      <c r="K75" s="302"/>
      <c r="L75" s="302"/>
      <c r="M75" s="302"/>
      <c r="N75" s="302"/>
      <c r="O75" s="302"/>
      <c r="P75" s="302"/>
      <c r="Q75" s="302"/>
      <c r="R75" s="302"/>
    </row>
    <row r="76" spans="1:18" s="58" customFormat="1" ht="15.75" customHeight="1" outlineLevel="1" x14ac:dyDescent="0.25">
      <c r="A76" s="302"/>
      <c r="B76" s="302"/>
      <c r="C76" s="303" t="s">
        <v>659</v>
      </c>
      <c r="D76" s="518">
        <v>0.03</v>
      </c>
      <c r="E76" s="519"/>
      <c r="F76" s="302"/>
      <c r="G76" s="302"/>
      <c r="H76" s="302"/>
      <c r="I76" s="302"/>
      <c r="J76" s="302"/>
      <c r="K76" s="302"/>
      <c r="L76" s="302"/>
      <c r="M76" s="302"/>
      <c r="N76" s="302"/>
      <c r="O76" s="302"/>
      <c r="P76" s="302"/>
      <c r="Q76" s="302"/>
      <c r="R76" s="302"/>
    </row>
    <row r="77" spans="1:18" s="58" customFormat="1" ht="15.75" customHeight="1" outlineLevel="1" x14ac:dyDescent="0.25">
      <c r="A77" s="302"/>
      <c r="B77" s="302"/>
      <c r="C77" s="303" t="s">
        <v>660</v>
      </c>
      <c r="D77" s="506">
        <v>2</v>
      </c>
      <c r="E77" s="507"/>
      <c r="F77" s="302"/>
      <c r="G77" s="302"/>
      <c r="H77" s="302"/>
      <c r="I77" s="302"/>
      <c r="J77" s="302"/>
      <c r="K77" s="302"/>
      <c r="L77" s="302"/>
      <c r="M77" s="302"/>
      <c r="N77" s="302"/>
      <c r="O77" s="302"/>
      <c r="P77" s="302"/>
      <c r="Q77" s="302"/>
      <c r="R77" s="302"/>
    </row>
    <row r="78" spans="1:18" s="58" customFormat="1" ht="15.75" customHeight="1" outlineLevel="1" thickBot="1" x14ac:dyDescent="0.3">
      <c r="A78" s="304"/>
      <c r="B78" s="87"/>
      <c r="C78" s="88" t="s">
        <v>661</v>
      </c>
      <c r="D78" s="508">
        <v>7.6499999999999999E-2</v>
      </c>
      <c r="E78" s="509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</row>
    <row r="79" spans="1:18" s="59" customFormat="1" ht="15.75" customHeight="1" x14ac:dyDescent="0.25">
      <c r="A79" s="305"/>
      <c r="B79" s="89" t="s">
        <v>38</v>
      </c>
      <c r="C79" s="109" t="s">
        <v>662</v>
      </c>
      <c r="D79" s="516">
        <v>45292</v>
      </c>
      <c r="E79" s="517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</row>
    <row r="80" spans="1:18" s="59" customFormat="1" ht="15.75" customHeight="1" outlineLevel="1" x14ac:dyDescent="0.25">
      <c r="A80" s="306"/>
      <c r="B80" s="91"/>
      <c r="C80" s="108" t="s">
        <v>641</v>
      </c>
      <c r="D80" s="504" t="s">
        <v>663</v>
      </c>
      <c r="E80" s="505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</row>
    <row r="81" spans="1:18" s="59" customFormat="1" outlineLevel="1" x14ac:dyDescent="0.25">
      <c r="A81" s="306"/>
      <c r="B81" s="90"/>
      <c r="C81" s="92" t="s">
        <v>643</v>
      </c>
      <c r="D81" s="496">
        <v>45292</v>
      </c>
      <c r="E81" s="497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</row>
    <row r="82" spans="1:18" s="59" customFormat="1" ht="15.75" customHeight="1" outlineLevel="1" x14ac:dyDescent="0.25">
      <c r="A82" s="306"/>
      <c r="B82" s="91"/>
      <c r="C82" s="92" t="s">
        <v>644</v>
      </c>
      <c r="D82" s="463">
        <v>1540.51</v>
      </c>
      <c r="E82" s="464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</row>
    <row r="83" spans="1:18" s="59" customFormat="1" ht="15.75" customHeight="1" outlineLevel="1" x14ac:dyDescent="0.25">
      <c r="A83" s="306"/>
      <c r="B83" s="306"/>
      <c r="C83" s="92" t="s">
        <v>648</v>
      </c>
      <c r="D83" s="463">
        <v>1412</v>
      </c>
      <c r="E83" s="464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</row>
    <row r="84" spans="1:18" s="59" customFormat="1" outlineLevel="1" x14ac:dyDescent="0.25">
      <c r="A84" s="306"/>
      <c r="B84" s="91"/>
      <c r="C84" s="92" t="s">
        <v>649</v>
      </c>
      <c r="D84" s="503">
        <v>0</v>
      </c>
      <c r="E84" s="464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</row>
    <row r="85" spans="1:18" s="59" customFormat="1" ht="15.75" customHeight="1" outlineLevel="1" x14ac:dyDescent="0.25">
      <c r="A85" s="306"/>
      <c r="B85" s="306"/>
      <c r="C85" s="307" t="s">
        <v>650</v>
      </c>
      <c r="D85" s="463">
        <v>0</v>
      </c>
      <c r="E85" s="464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</row>
    <row r="86" spans="1:18" s="59" customFormat="1" ht="15.75" customHeight="1" outlineLevel="1" x14ac:dyDescent="0.25">
      <c r="A86" s="306"/>
      <c r="B86" s="306"/>
      <c r="C86" s="307" t="s">
        <v>651</v>
      </c>
      <c r="D86" s="503">
        <v>1</v>
      </c>
      <c r="E86" s="464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</row>
    <row r="87" spans="1:18" s="59" customFormat="1" ht="15.75" customHeight="1" outlineLevel="1" x14ac:dyDescent="0.25">
      <c r="A87" s="306"/>
      <c r="B87" s="306"/>
      <c r="C87" s="307" t="s">
        <v>652</v>
      </c>
      <c r="D87" s="463">
        <v>23.68</v>
      </c>
      <c r="E87" s="464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</row>
    <row r="88" spans="1:18" s="59" customFormat="1" ht="15.75" customHeight="1" outlineLevel="1" x14ac:dyDescent="0.25">
      <c r="A88" s="306"/>
      <c r="B88" s="306"/>
      <c r="C88" s="307" t="s">
        <v>653</v>
      </c>
      <c r="D88" s="463">
        <v>11.84</v>
      </c>
      <c r="E88" s="464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</row>
    <row r="89" spans="1:18" s="59" customFormat="1" ht="15.75" customHeight="1" outlineLevel="1" x14ac:dyDescent="0.25">
      <c r="A89" s="306"/>
      <c r="B89" s="306"/>
      <c r="C89" s="307" t="s">
        <v>654</v>
      </c>
      <c r="D89" s="503">
        <v>0.19</v>
      </c>
      <c r="E89" s="464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</row>
    <row r="90" spans="1:18" s="59" customFormat="1" ht="15.75" customHeight="1" outlineLevel="1" x14ac:dyDescent="0.25">
      <c r="A90" s="306"/>
      <c r="B90" s="306"/>
      <c r="C90" s="307" t="s">
        <v>655</v>
      </c>
      <c r="D90" s="463">
        <v>19.420000000000002</v>
      </c>
      <c r="E90" s="464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</row>
    <row r="91" spans="1:18" s="59" customFormat="1" ht="15.75" customHeight="1" outlineLevel="1" x14ac:dyDescent="0.25">
      <c r="A91" s="306"/>
      <c r="B91" s="306"/>
      <c r="C91" s="307" t="s">
        <v>656</v>
      </c>
      <c r="D91" s="503">
        <v>0.03</v>
      </c>
      <c r="E91" s="464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</row>
    <row r="92" spans="1:18" s="59" customFormat="1" ht="15.75" customHeight="1" outlineLevel="1" x14ac:dyDescent="0.25">
      <c r="A92" s="306"/>
      <c r="B92" s="306"/>
      <c r="C92" s="307" t="s">
        <v>657</v>
      </c>
      <c r="D92" s="537">
        <v>1.6500000000000001E-2</v>
      </c>
      <c r="E92" s="464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</row>
    <row r="93" spans="1:18" s="59" customFormat="1" ht="15.75" customHeight="1" outlineLevel="1" x14ac:dyDescent="0.25">
      <c r="A93" s="306"/>
      <c r="B93" s="306"/>
      <c r="C93" s="307" t="s">
        <v>658</v>
      </c>
      <c r="D93" s="537">
        <v>7.5999999999999998E-2</v>
      </c>
      <c r="E93" s="464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</row>
    <row r="94" spans="1:18" s="59" customFormat="1" ht="15.75" customHeight="1" outlineLevel="1" x14ac:dyDescent="0.25">
      <c r="A94" s="306"/>
      <c r="B94" s="306"/>
      <c r="C94" s="307" t="s">
        <v>659</v>
      </c>
      <c r="D94" s="537">
        <v>0.03</v>
      </c>
      <c r="E94" s="464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</row>
    <row r="95" spans="1:18" s="59" customFormat="1" ht="15.75" customHeight="1" outlineLevel="1" x14ac:dyDescent="0.25">
      <c r="A95" s="306"/>
      <c r="B95" s="306"/>
      <c r="C95" s="307" t="s">
        <v>660</v>
      </c>
      <c r="D95" s="510">
        <v>2</v>
      </c>
      <c r="E95" s="464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</row>
    <row r="96" spans="1:18" s="59" customFormat="1" ht="15.75" customHeight="1" outlineLevel="1" thickBot="1" x14ac:dyDescent="0.3">
      <c r="A96" s="308"/>
      <c r="B96" s="93"/>
      <c r="C96" s="94" t="s">
        <v>661</v>
      </c>
      <c r="D96" s="535">
        <v>7.6499999999999999E-2</v>
      </c>
      <c r="E96" s="536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</row>
    <row r="97" spans="1:18" s="98" customFormat="1" ht="15.75" customHeight="1" thickBot="1" x14ac:dyDescent="0.3">
      <c r="A97" s="309"/>
      <c r="B97" s="95" t="s">
        <v>37</v>
      </c>
      <c r="C97" s="96" t="s">
        <v>662</v>
      </c>
      <c r="D97" s="498">
        <v>45292</v>
      </c>
      <c r="E97" s="499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</row>
    <row r="98" spans="1:18" s="98" customFormat="1" ht="15.75" customHeight="1" outlineLevel="1" x14ac:dyDescent="0.25">
      <c r="A98" s="310"/>
      <c r="B98" s="99"/>
      <c r="C98" s="100" t="s">
        <v>641</v>
      </c>
      <c r="D98" s="511" t="s">
        <v>663</v>
      </c>
      <c r="E98" s="512"/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</row>
    <row r="99" spans="1:18" s="98" customFormat="1" outlineLevel="1" x14ac:dyDescent="0.25">
      <c r="A99" s="310"/>
      <c r="B99" s="97"/>
      <c r="C99" s="101" t="s">
        <v>643</v>
      </c>
      <c r="D99" s="531">
        <v>45292</v>
      </c>
      <c r="E99" s="532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</row>
    <row r="100" spans="1:18" s="98" customFormat="1" ht="15.75" customHeight="1" outlineLevel="1" x14ac:dyDescent="0.25">
      <c r="A100" s="310"/>
      <c r="B100" s="99"/>
      <c r="C100" s="101" t="s">
        <v>666</v>
      </c>
      <c r="D100" s="529">
        <v>1854.91</v>
      </c>
      <c r="E100" s="468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</row>
    <row r="101" spans="1:18" s="98" customFormat="1" ht="15.75" customHeight="1" outlineLevel="1" x14ac:dyDescent="0.25">
      <c r="A101" s="310"/>
      <c r="B101" s="310"/>
      <c r="C101" s="101" t="s">
        <v>648</v>
      </c>
      <c r="D101" s="529">
        <v>1412</v>
      </c>
      <c r="E101" s="468"/>
      <c r="F101" s="310"/>
      <c r="G101" s="310"/>
      <c r="H101" s="310"/>
      <c r="I101" s="310"/>
      <c r="J101" s="310"/>
      <c r="K101" s="310"/>
      <c r="L101" s="310"/>
      <c r="M101" s="310"/>
      <c r="N101" s="310"/>
      <c r="O101" s="310"/>
      <c r="P101" s="310"/>
      <c r="Q101" s="310"/>
      <c r="R101" s="310"/>
    </row>
    <row r="102" spans="1:18" s="98" customFormat="1" outlineLevel="1" x14ac:dyDescent="0.25">
      <c r="A102" s="310"/>
      <c r="B102" s="99"/>
      <c r="C102" s="101" t="s">
        <v>649</v>
      </c>
      <c r="D102" s="467">
        <v>0</v>
      </c>
      <c r="E102" s="468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</row>
    <row r="103" spans="1:18" s="98" customFormat="1" ht="15.75" customHeight="1" outlineLevel="1" x14ac:dyDescent="0.25">
      <c r="A103" s="310"/>
      <c r="B103" s="310"/>
      <c r="C103" s="311" t="s">
        <v>650</v>
      </c>
      <c r="D103" s="529">
        <v>0</v>
      </c>
      <c r="E103" s="468"/>
      <c r="F103" s="310"/>
      <c r="G103" s="310"/>
      <c r="H103" s="310"/>
      <c r="I103" s="310"/>
      <c r="J103" s="310"/>
      <c r="K103" s="310"/>
      <c r="L103" s="310"/>
      <c r="M103" s="310"/>
      <c r="N103" s="310"/>
      <c r="O103" s="310"/>
      <c r="P103" s="310"/>
      <c r="Q103" s="310"/>
      <c r="R103" s="310"/>
    </row>
    <row r="104" spans="1:18" s="98" customFormat="1" ht="15.75" customHeight="1" outlineLevel="1" x14ac:dyDescent="0.25">
      <c r="A104" s="310"/>
      <c r="B104" s="310"/>
      <c r="C104" s="311" t="s">
        <v>651</v>
      </c>
      <c r="D104" s="467">
        <v>1</v>
      </c>
      <c r="E104" s="468"/>
      <c r="F104" s="310"/>
      <c r="G104" s="310"/>
      <c r="H104" s="310"/>
      <c r="I104" s="310"/>
      <c r="J104" s="310"/>
      <c r="K104" s="310"/>
      <c r="L104" s="310"/>
      <c r="M104" s="310"/>
      <c r="N104" s="310"/>
      <c r="O104" s="310"/>
      <c r="P104" s="310"/>
      <c r="Q104" s="310"/>
      <c r="R104" s="310"/>
    </row>
    <row r="105" spans="1:18" s="98" customFormat="1" ht="15.75" customHeight="1" outlineLevel="1" x14ac:dyDescent="0.25">
      <c r="A105" s="310"/>
      <c r="B105" s="310"/>
      <c r="C105" s="311" t="s">
        <v>652</v>
      </c>
      <c r="D105" s="529">
        <v>23.68</v>
      </c>
      <c r="E105" s="468"/>
      <c r="F105" s="310"/>
      <c r="G105" s="310"/>
      <c r="H105" s="310"/>
      <c r="I105" s="310"/>
      <c r="J105" s="310"/>
      <c r="K105" s="310"/>
      <c r="L105" s="310"/>
      <c r="M105" s="310"/>
      <c r="N105" s="310"/>
      <c r="O105" s="310"/>
      <c r="P105" s="310"/>
      <c r="Q105" s="310"/>
      <c r="R105" s="310"/>
    </row>
    <row r="106" spans="1:18" s="98" customFormat="1" ht="15.75" customHeight="1" outlineLevel="1" x14ac:dyDescent="0.25">
      <c r="A106" s="310"/>
      <c r="B106" s="310"/>
      <c r="C106" s="311" t="s">
        <v>653</v>
      </c>
      <c r="D106" s="529">
        <v>11.84</v>
      </c>
      <c r="E106" s="468"/>
      <c r="F106" s="310"/>
      <c r="G106" s="310"/>
      <c r="H106" s="310"/>
      <c r="I106" s="310"/>
      <c r="J106" s="310"/>
      <c r="K106" s="310"/>
      <c r="L106" s="310"/>
      <c r="M106" s="310"/>
      <c r="N106" s="310"/>
      <c r="O106" s="310"/>
      <c r="P106" s="310"/>
      <c r="Q106" s="310"/>
      <c r="R106" s="310"/>
    </row>
    <row r="107" spans="1:18" s="98" customFormat="1" ht="15.75" customHeight="1" outlineLevel="1" x14ac:dyDescent="0.25">
      <c r="A107" s="310"/>
      <c r="B107" s="310"/>
      <c r="C107" s="311" t="s">
        <v>654</v>
      </c>
      <c r="D107" s="467">
        <v>0.19</v>
      </c>
      <c r="E107" s="468"/>
      <c r="F107" s="310"/>
      <c r="G107" s="310"/>
      <c r="H107" s="310"/>
      <c r="I107" s="310"/>
      <c r="J107" s="310"/>
      <c r="K107" s="310"/>
      <c r="L107" s="310"/>
      <c r="M107" s="310"/>
      <c r="N107" s="310"/>
      <c r="O107" s="310"/>
      <c r="P107" s="310"/>
      <c r="Q107" s="310"/>
      <c r="R107" s="310"/>
    </row>
    <row r="108" spans="1:18" s="98" customFormat="1" ht="15.75" customHeight="1" outlineLevel="1" x14ac:dyDescent="0.25">
      <c r="A108" s="310"/>
      <c r="B108" s="310"/>
      <c r="C108" s="311" t="s">
        <v>656</v>
      </c>
      <c r="D108" s="467">
        <v>0.03</v>
      </c>
      <c r="E108" s="468"/>
      <c r="F108" s="310"/>
      <c r="G108" s="310"/>
      <c r="H108" s="310"/>
      <c r="I108" s="310"/>
      <c r="J108" s="310"/>
      <c r="K108" s="310"/>
      <c r="L108" s="310"/>
      <c r="M108" s="310"/>
      <c r="N108" s="310"/>
      <c r="O108" s="310"/>
      <c r="P108" s="310"/>
      <c r="Q108" s="310"/>
      <c r="R108" s="310"/>
    </row>
    <row r="109" spans="1:18" s="98" customFormat="1" ht="15.75" customHeight="1" outlineLevel="1" x14ac:dyDescent="0.25">
      <c r="A109" s="310"/>
      <c r="B109" s="310"/>
      <c r="C109" s="311" t="s">
        <v>657</v>
      </c>
      <c r="D109" s="530">
        <v>1.6500000000000001E-2</v>
      </c>
      <c r="E109" s="468"/>
      <c r="F109" s="310"/>
      <c r="G109" s="310"/>
      <c r="H109" s="310"/>
      <c r="I109" s="310"/>
      <c r="J109" s="310"/>
      <c r="K109" s="310"/>
      <c r="L109" s="310"/>
      <c r="M109" s="310"/>
      <c r="N109" s="310"/>
      <c r="O109" s="310"/>
      <c r="P109" s="310"/>
      <c r="Q109" s="310"/>
      <c r="R109" s="310"/>
    </row>
    <row r="110" spans="1:18" s="98" customFormat="1" ht="15.75" customHeight="1" outlineLevel="1" x14ac:dyDescent="0.25">
      <c r="A110" s="310"/>
      <c r="B110" s="310"/>
      <c r="C110" s="311" t="s">
        <v>658</v>
      </c>
      <c r="D110" s="530">
        <v>7.5999999999999998E-2</v>
      </c>
      <c r="E110" s="468"/>
      <c r="F110" s="310"/>
      <c r="G110" s="310"/>
      <c r="H110" s="310"/>
      <c r="I110" s="310"/>
      <c r="J110" s="310"/>
      <c r="K110" s="310"/>
      <c r="L110" s="310"/>
      <c r="M110" s="310"/>
      <c r="N110" s="310"/>
      <c r="O110" s="310"/>
      <c r="P110" s="310"/>
      <c r="Q110" s="310"/>
      <c r="R110" s="310"/>
    </row>
    <row r="111" spans="1:18" s="98" customFormat="1" ht="15.75" customHeight="1" outlineLevel="1" x14ac:dyDescent="0.25">
      <c r="A111" s="310"/>
      <c r="B111" s="310"/>
      <c r="C111" s="311" t="s">
        <v>659</v>
      </c>
      <c r="D111" s="530">
        <v>0.03</v>
      </c>
      <c r="E111" s="468"/>
      <c r="F111" s="310"/>
      <c r="G111" s="310"/>
      <c r="H111" s="310"/>
      <c r="I111" s="310"/>
      <c r="J111" s="310"/>
      <c r="K111" s="310"/>
      <c r="L111" s="310"/>
      <c r="M111" s="310"/>
      <c r="N111" s="310"/>
      <c r="O111" s="310"/>
      <c r="P111" s="310"/>
      <c r="Q111" s="310"/>
      <c r="R111" s="310"/>
    </row>
    <row r="112" spans="1:18" s="98" customFormat="1" ht="15.75" customHeight="1" outlineLevel="1" x14ac:dyDescent="0.25">
      <c r="A112" s="310"/>
      <c r="B112" s="310"/>
      <c r="C112" s="311" t="s">
        <v>660</v>
      </c>
      <c r="D112" s="526">
        <v>2</v>
      </c>
      <c r="E112" s="468"/>
      <c r="F112" s="310"/>
      <c r="G112" s="310"/>
      <c r="H112" s="310"/>
      <c r="I112" s="310"/>
      <c r="J112" s="310"/>
      <c r="K112" s="310"/>
      <c r="L112" s="310"/>
      <c r="M112" s="310"/>
      <c r="N112" s="310"/>
      <c r="O112" s="310"/>
      <c r="P112" s="310"/>
      <c r="Q112" s="310"/>
      <c r="R112" s="310"/>
    </row>
    <row r="113" spans="1:18" s="98" customFormat="1" ht="15.75" customHeight="1" outlineLevel="1" thickBot="1" x14ac:dyDescent="0.3">
      <c r="A113" s="312"/>
      <c r="B113" s="102"/>
      <c r="C113" s="103" t="s">
        <v>661</v>
      </c>
      <c r="D113" s="527">
        <v>7.6499999999999999E-2</v>
      </c>
      <c r="E113" s="528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</row>
    <row r="114" spans="1:18" ht="15.75" customHeight="1" x14ac:dyDescent="0.25">
      <c r="A114" s="283"/>
      <c r="B114" s="283"/>
      <c r="C114" s="283"/>
      <c r="D114" s="2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</row>
    <row r="115" spans="1:18" ht="15.75" customHeight="1" x14ac:dyDescent="0.25">
      <c r="A115" s="283"/>
      <c r="B115" s="283"/>
      <c r="C115" s="283"/>
      <c r="D115" s="2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</row>
    <row r="116" spans="1:18" ht="15.75" customHeight="1" x14ac:dyDescent="0.25">
      <c r="A116" s="283"/>
      <c r="B116" s="283"/>
      <c r="C116" s="283"/>
      <c r="D116" s="2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</row>
    <row r="117" spans="1:18" ht="15.75" customHeight="1" x14ac:dyDescent="0.25">
      <c r="A117" s="283"/>
      <c r="B117" s="283"/>
      <c r="C117" s="283"/>
      <c r="D117" s="2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</row>
    <row r="118" spans="1:18" ht="15.75" customHeight="1" x14ac:dyDescent="0.25">
      <c r="A118" s="283"/>
      <c r="B118" s="283"/>
      <c r="C118" s="283"/>
      <c r="D118" s="2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</row>
    <row r="119" spans="1:18" ht="15.75" customHeight="1" x14ac:dyDescent="0.25">
      <c r="A119" s="283"/>
      <c r="B119" s="283"/>
      <c r="C119" s="283"/>
      <c r="D119" s="2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</row>
    <row r="120" spans="1:18" ht="15.75" customHeight="1" x14ac:dyDescent="0.25">
      <c r="A120" s="283"/>
      <c r="B120" s="283"/>
      <c r="C120" s="283"/>
      <c r="D120" s="2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</row>
    <row r="121" spans="1:18" ht="15.75" customHeight="1" x14ac:dyDescent="0.25">
      <c r="A121" s="283"/>
      <c r="B121" s="283"/>
      <c r="C121" s="283"/>
      <c r="D121" s="2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</row>
    <row r="122" spans="1:18" ht="15.75" customHeight="1" x14ac:dyDescent="0.25">
      <c r="A122" s="283"/>
      <c r="B122" s="283"/>
      <c r="C122" s="283"/>
      <c r="D122" s="2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</row>
    <row r="123" spans="1:18" ht="15.75" customHeight="1" x14ac:dyDescent="0.25">
      <c r="A123" s="283"/>
      <c r="B123" s="283"/>
      <c r="C123" s="283"/>
      <c r="D123" s="2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</row>
    <row r="124" spans="1:18" ht="15.75" customHeight="1" x14ac:dyDescent="0.25">
      <c r="A124" s="283"/>
      <c r="B124" s="283"/>
      <c r="C124" s="283"/>
      <c r="D124" s="2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</row>
    <row r="125" spans="1:18" ht="15.75" customHeight="1" x14ac:dyDescent="0.25">
      <c r="A125" s="283"/>
      <c r="B125" s="283"/>
      <c r="C125" s="283"/>
      <c r="D125" s="2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</row>
    <row r="126" spans="1:18" ht="15.75" customHeight="1" x14ac:dyDescent="0.25">
      <c r="A126" s="283"/>
      <c r="B126" s="283"/>
      <c r="C126" s="283"/>
      <c r="D126" s="2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</row>
    <row r="127" spans="1:18" ht="15.75" customHeight="1" x14ac:dyDescent="0.25">
      <c r="A127" s="283"/>
      <c r="B127" s="283"/>
      <c r="C127" s="283"/>
      <c r="D127" s="2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</row>
    <row r="128" spans="1:18" ht="15.75" customHeight="1" x14ac:dyDescent="0.25">
      <c r="A128" s="283"/>
      <c r="B128" s="283"/>
      <c r="C128" s="283"/>
      <c r="D128" s="2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</row>
    <row r="129" spans="4:4" ht="15.75" customHeight="1" x14ac:dyDescent="0.25">
      <c r="D129" s="2"/>
    </row>
    <row r="130" spans="4:4" ht="15.75" customHeight="1" x14ac:dyDescent="0.25">
      <c r="D130" s="2"/>
    </row>
    <row r="131" spans="4:4" ht="15.75" customHeight="1" x14ac:dyDescent="0.25">
      <c r="D131" s="2"/>
    </row>
    <row r="132" spans="4:4" ht="15.75" customHeight="1" x14ac:dyDescent="0.25">
      <c r="D132" s="2"/>
    </row>
    <row r="133" spans="4:4" ht="15.75" customHeight="1" x14ac:dyDescent="0.25">
      <c r="D133" s="2"/>
    </row>
    <row r="134" spans="4:4" ht="15.75" customHeight="1" x14ac:dyDescent="0.25">
      <c r="D134" s="2"/>
    </row>
    <row r="135" spans="4:4" ht="15.75" customHeight="1" x14ac:dyDescent="0.25">
      <c r="D135" s="2"/>
    </row>
    <row r="136" spans="4:4" ht="15.75" customHeight="1" x14ac:dyDescent="0.25">
      <c r="D136" s="2"/>
    </row>
    <row r="137" spans="4:4" ht="15.75" customHeight="1" x14ac:dyDescent="0.25">
      <c r="D137" s="2"/>
    </row>
    <row r="138" spans="4:4" ht="15.75" customHeight="1" x14ac:dyDescent="0.25">
      <c r="D138" s="2"/>
    </row>
    <row r="139" spans="4:4" ht="15.75" customHeight="1" x14ac:dyDescent="0.25">
      <c r="D139" s="2"/>
    </row>
    <row r="140" spans="4:4" ht="15.75" customHeight="1" x14ac:dyDescent="0.25">
      <c r="D140" s="2"/>
    </row>
    <row r="141" spans="4:4" ht="15.75" customHeight="1" x14ac:dyDescent="0.25">
      <c r="D141" s="2"/>
    </row>
    <row r="142" spans="4:4" ht="15.75" customHeight="1" x14ac:dyDescent="0.25">
      <c r="D142" s="2"/>
    </row>
    <row r="143" spans="4:4" ht="15.75" customHeight="1" x14ac:dyDescent="0.25">
      <c r="D143" s="2"/>
    </row>
    <row r="144" spans="4:4" ht="15.75" customHeight="1" x14ac:dyDescent="0.25">
      <c r="D144" s="2"/>
    </row>
    <row r="145" spans="4:4" ht="15.75" customHeight="1" x14ac:dyDescent="0.25">
      <c r="D145" s="2"/>
    </row>
    <row r="146" spans="4:4" ht="15.75" customHeight="1" x14ac:dyDescent="0.25">
      <c r="D146" s="2"/>
    </row>
    <row r="147" spans="4:4" ht="15.75" customHeight="1" x14ac:dyDescent="0.25">
      <c r="D147" s="2"/>
    </row>
    <row r="148" spans="4:4" ht="15.75" customHeight="1" x14ac:dyDescent="0.25">
      <c r="D148" s="2"/>
    </row>
    <row r="149" spans="4:4" ht="15.75" customHeight="1" x14ac:dyDescent="0.25">
      <c r="D149" s="2"/>
    </row>
    <row r="150" spans="4:4" ht="15.75" customHeight="1" x14ac:dyDescent="0.25">
      <c r="D150" s="2"/>
    </row>
    <row r="151" spans="4:4" ht="15.75" customHeight="1" x14ac:dyDescent="0.25">
      <c r="D151" s="2"/>
    </row>
    <row r="152" spans="4:4" ht="15.75" customHeight="1" x14ac:dyDescent="0.25">
      <c r="D152" s="2"/>
    </row>
    <row r="153" spans="4:4" ht="15.75" customHeight="1" x14ac:dyDescent="0.25">
      <c r="D153" s="2"/>
    </row>
    <row r="154" spans="4:4" ht="15.75" customHeight="1" x14ac:dyDescent="0.25">
      <c r="D154" s="2"/>
    </row>
    <row r="155" spans="4:4" ht="15.75" customHeight="1" x14ac:dyDescent="0.25">
      <c r="D155" s="2"/>
    </row>
    <row r="156" spans="4:4" ht="15.75" customHeight="1" x14ac:dyDescent="0.25">
      <c r="D156" s="2"/>
    </row>
    <row r="157" spans="4:4" ht="15.75" customHeight="1" x14ac:dyDescent="0.25">
      <c r="D157" s="2"/>
    </row>
    <row r="158" spans="4:4" ht="15.75" customHeight="1" x14ac:dyDescent="0.25">
      <c r="D158" s="2"/>
    </row>
    <row r="159" spans="4:4" ht="15.75" customHeight="1" x14ac:dyDescent="0.25">
      <c r="D159" s="2"/>
    </row>
    <row r="160" spans="4:4" ht="15.75" customHeight="1" x14ac:dyDescent="0.25">
      <c r="D160" s="2"/>
    </row>
    <row r="161" spans="4:4" ht="15.75" customHeight="1" x14ac:dyDescent="0.25">
      <c r="D161" s="2"/>
    </row>
    <row r="162" spans="4:4" ht="15.75" customHeight="1" x14ac:dyDescent="0.25">
      <c r="D162" s="2"/>
    </row>
    <row r="163" spans="4:4" ht="15.75" customHeight="1" x14ac:dyDescent="0.25">
      <c r="D163" s="2"/>
    </row>
    <row r="164" spans="4:4" ht="15.75" customHeight="1" x14ac:dyDescent="0.25">
      <c r="D164" s="2"/>
    </row>
    <row r="165" spans="4:4" ht="15.75" customHeight="1" x14ac:dyDescent="0.25">
      <c r="D165" s="2"/>
    </row>
    <row r="166" spans="4:4" ht="15.75" customHeight="1" x14ac:dyDescent="0.25">
      <c r="D166" s="2"/>
    </row>
    <row r="167" spans="4:4" ht="15.75" customHeight="1" x14ac:dyDescent="0.25">
      <c r="D167" s="2"/>
    </row>
    <row r="168" spans="4:4" ht="15.75" customHeight="1" x14ac:dyDescent="0.25">
      <c r="D168" s="2"/>
    </row>
    <row r="169" spans="4:4" ht="15.75" customHeight="1" x14ac:dyDescent="0.25">
      <c r="D169" s="2"/>
    </row>
    <row r="170" spans="4:4" ht="15.75" customHeight="1" x14ac:dyDescent="0.25">
      <c r="D170" s="2"/>
    </row>
    <row r="171" spans="4:4" ht="15.75" customHeight="1" x14ac:dyDescent="0.25">
      <c r="D171" s="2"/>
    </row>
    <row r="172" spans="4:4" ht="15.75" customHeight="1" x14ac:dyDescent="0.25">
      <c r="D172" s="2"/>
    </row>
    <row r="173" spans="4:4" ht="15.75" customHeight="1" x14ac:dyDescent="0.25">
      <c r="D173" s="2"/>
    </row>
    <row r="174" spans="4:4" ht="15.75" customHeight="1" x14ac:dyDescent="0.25">
      <c r="D174" s="2"/>
    </row>
    <row r="175" spans="4:4" ht="15.75" customHeight="1" x14ac:dyDescent="0.25">
      <c r="D175" s="2"/>
    </row>
    <row r="176" spans="4:4" ht="15.75" customHeight="1" x14ac:dyDescent="0.25">
      <c r="D176" s="2"/>
    </row>
    <row r="177" spans="4:4" ht="15.75" customHeight="1" x14ac:dyDescent="0.25">
      <c r="D177" s="2"/>
    </row>
    <row r="178" spans="4:4" ht="15.75" customHeight="1" x14ac:dyDescent="0.25">
      <c r="D178" s="2"/>
    </row>
    <row r="179" spans="4:4" ht="15.75" customHeight="1" x14ac:dyDescent="0.25">
      <c r="D179" s="2"/>
    </row>
    <row r="180" spans="4:4" ht="15.75" customHeight="1" x14ac:dyDescent="0.25">
      <c r="D180" s="2"/>
    </row>
    <row r="181" spans="4:4" ht="15.75" customHeight="1" x14ac:dyDescent="0.25">
      <c r="D181" s="2"/>
    </row>
    <row r="182" spans="4:4" ht="15.75" customHeight="1" x14ac:dyDescent="0.25">
      <c r="D182" s="2"/>
    </row>
    <row r="183" spans="4:4" ht="15.75" customHeight="1" x14ac:dyDescent="0.25">
      <c r="D183" s="2"/>
    </row>
    <row r="184" spans="4:4" ht="15.75" customHeight="1" x14ac:dyDescent="0.25">
      <c r="D184" s="2"/>
    </row>
    <row r="185" spans="4:4" ht="15.75" customHeight="1" x14ac:dyDescent="0.25">
      <c r="D185" s="2"/>
    </row>
    <row r="186" spans="4:4" ht="15.75" customHeight="1" x14ac:dyDescent="0.25">
      <c r="D186" s="2"/>
    </row>
    <row r="187" spans="4:4" ht="15.75" customHeight="1" x14ac:dyDescent="0.25">
      <c r="D187" s="2"/>
    </row>
    <row r="188" spans="4:4" ht="15.75" customHeight="1" x14ac:dyDescent="0.25">
      <c r="D188" s="2"/>
    </row>
    <row r="189" spans="4:4" ht="15.75" customHeight="1" x14ac:dyDescent="0.25">
      <c r="D189" s="2"/>
    </row>
    <row r="190" spans="4:4" ht="15.75" customHeight="1" x14ac:dyDescent="0.25">
      <c r="D190" s="2"/>
    </row>
    <row r="191" spans="4:4" ht="15.75" customHeight="1" x14ac:dyDescent="0.25">
      <c r="D191" s="2"/>
    </row>
    <row r="192" spans="4:4" ht="15.75" customHeight="1" x14ac:dyDescent="0.25">
      <c r="D192" s="2"/>
    </row>
    <row r="193" spans="4:4" ht="15.75" customHeight="1" x14ac:dyDescent="0.25">
      <c r="D193" s="2"/>
    </row>
    <row r="194" spans="4:4" ht="15.75" customHeight="1" x14ac:dyDescent="0.25">
      <c r="D194" s="2"/>
    </row>
    <row r="195" spans="4:4" ht="15.75" customHeight="1" x14ac:dyDescent="0.25">
      <c r="D195" s="2"/>
    </row>
    <row r="196" spans="4:4" ht="15.75" customHeight="1" x14ac:dyDescent="0.25">
      <c r="D196" s="2"/>
    </row>
    <row r="197" spans="4:4" ht="15.75" customHeight="1" x14ac:dyDescent="0.25">
      <c r="D197" s="2"/>
    </row>
    <row r="198" spans="4:4" ht="15.75" customHeight="1" x14ac:dyDescent="0.25">
      <c r="D198" s="2"/>
    </row>
    <row r="199" spans="4:4" ht="15.75" customHeight="1" x14ac:dyDescent="0.25">
      <c r="D199" s="2"/>
    </row>
    <row r="200" spans="4:4" ht="15.75" customHeight="1" x14ac:dyDescent="0.25">
      <c r="D200" s="2"/>
    </row>
    <row r="201" spans="4:4" ht="15.75" customHeight="1" x14ac:dyDescent="0.25">
      <c r="D201" s="2"/>
    </row>
    <row r="202" spans="4:4" ht="15.75" customHeight="1" x14ac:dyDescent="0.25">
      <c r="D202" s="2"/>
    </row>
    <row r="203" spans="4:4" ht="15.75" customHeight="1" x14ac:dyDescent="0.25">
      <c r="D203" s="2"/>
    </row>
    <row r="204" spans="4:4" ht="15.75" customHeight="1" x14ac:dyDescent="0.25">
      <c r="D204" s="2"/>
    </row>
    <row r="205" spans="4:4" ht="15.75" customHeight="1" x14ac:dyDescent="0.25">
      <c r="D205" s="2"/>
    </row>
    <row r="206" spans="4:4" ht="15.75" customHeight="1" x14ac:dyDescent="0.25">
      <c r="D206" s="2"/>
    </row>
    <row r="207" spans="4:4" ht="15.75" customHeight="1" x14ac:dyDescent="0.25">
      <c r="D207" s="2"/>
    </row>
    <row r="208" spans="4:4" ht="15.75" customHeight="1" x14ac:dyDescent="0.25">
      <c r="D208" s="2"/>
    </row>
    <row r="209" spans="4:4" ht="15.75" customHeight="1" x14ac:dyDescent="0.25">
      <c r="D209" s="2"/>
    </row>
    <row r="210" spans="4:4" ht="15.75" customHeight="1" x14ac:dyDescent="0.25">
      <c r="D210" s="2"/>
    </row>
    <row r="211" spans="4:4" ht="15.75" customHeight="1" x14ac:dyDescent="0.25">
      <c r="D211" s="2"/>
    </row>
    <row r="212" spans="4:4" ht="15.75" customHeight="1" x14ac:dyDescent="0.25">
      <c r="D212" s="2"/>
    </row>
    <row r="213" spans="4:4" ht="15.75" customHeight="1" x14ac:dyDescent="0.25">
      <c r="D213" s="2"/>
    </row>
    <row r="214" spans="4:4" ht="15.75" customHeight="1" x14ac:dyDescent="0.25">
      <c r="D214" s="2"/>
    </row>
    <row r="215" spans="4:4" ht="15.75" customHeight="1" x14ac:dyDescent="0.25">
      <c r="D215" s="2"/>
    </row>
    <row r="216" spans="4:4" ht="15.75" customHeight="1" x14ac:dyDescent="0.25">
      <c r="D216" s="2"/>
    </row>
    <row r="217" spans="4:4" ht="15.75" customHeight="1" x14ac:dyDescent="0.25">
      <c r="D217" s="2"/>
    </row>
    <row r="218" spans="4:4" ht="15.75" customHeight="1" x14ac:dyDescent="0.25">
      <c r="D218" s="2"/>
    </row>
    <row r="219" spans="4:4" ht="15.75" customHeight="1" x14ac:dyDescent="0.25">
      <c r="D219" s="2"/>
    </row>
    <row r="220" spans="4:4" ht="15.75" customHeight="1" x14ac:dyDescent="0.25">
      <c r="D220" s="2"/>
    </row>
    <row r="221" spans="4:4" ht="15.75" customHeight="1" x14ac:dyDescent="0.25">
      <c r="D221" s="2"/>
    </row>
    <row r="222" spans="4:4" ht="15.75" customHeight="1" x14ac:dyDescent="0.25">
      <c r="D222" s="2"/>
    </row>
    <row r="223" spans="4:4" ht="15.75" customHeight="1" x14ac:dyDescent="0.25">
      <c r="D223" s="2"/>
    </row>
    <row r="224" spans="4:4" ht="15.75" customHeight="1" x14ac:dyDescent="0.25">
      <c r="D224" s="2"/>
    </row>
    <row r="225" spans="4:4" ht="15.75" customHeight="1" x14ac:dyDescent="0.25">
      <c r="D225" s="2"/>
    </row>
    <row r="226" spans="4:4" ht="15.75" customHeight="1" x14ac:dyDescent="0.25">
      <c r="D226" s="2"/>
    </row>
    <row r="227" spans="4:4" ht="15.75" customHeight="1" x14ac:dyDescent="0.25">
      <c r="D227" s="2"/>
    </row>
    <row r="228" spans="4:4" ht="15.75" customHeight="1" x14ac:dyDescent="0.25">
      <c r="D228" s="2"/>
    </row>
    <row r="229" spans="4:4" ht="15.75" customHeight="1" x14ac:dyDescent="0.25">
      <c r="D229" s="2"/>
    </row>
    <row r="230" spans="4:4" ht="15.75" customHeight="1" x14ac:dyDescent="0.25">
      <c r="D230" s="2"/>
    </row>
    <row r="231" spans="4:4" ht="15.75" customHeight="1" x14ac:dyDescent="0.25">
      <c r="D231" s="2"/>
    </row>
    <row r="232" spans="4:4" ht="15.75" customHeight="1" x14ac:dyDescent="0.25">
      <c r="D232" s="2"/>
    </row>
    <row r="233" spans="4:4" ht="15.75" customHeight="1" x14ac:dyDescent="0.25">
      <c r="D233" s="2"/>
    </row>
    <row r="234" spans="4:4" ht="15.75" customHeight="1" x14ac:dyDescent="0.25">
      <c r="D234" s="2"/>
    </row>
    <row r="235" spans="4:4" ht="15.75" customHeight="1" x14ac:dyDescent="0.25">
      <c r="D235" s="2"/>
    </row>
    <row r="236" spans="4:4" ht="15.75" customHeight="1" x14ac:dyDescent="0.25">
      <c r="D236" s="2"/>
    </row>
    <row r="237" spans="4:4" ht="15.75" customHeight="1" x14ac:dyDescent="0.25">
      <c r="D237" s="2"/>
    </row>
    <row r="238" spans="4:4" ht="15.75" customHeight="1" x14ac:dyDescent="0.25">
      <c r="D238" s="2"/>
    </row>
    <row r="239" spans="4:4" ht="15.75" customHeight="1" x14ac:dyDescent="0.25">
      <c r="D239" s="2"/>
    </row>
    <row r="240" spans="4:4" ht="15.75" customHeight="1" x14ac:dyDescent="0.25">
      <c r="D240" s="2"/>
    </row>
    <row r="241" spans="4:4" ht="15.75" customHeight="1" x14ac:dyDescent="0.25">
      <c r="D241" s="2"/>
    </row>
    <row r="242" spans="4:4" ht="15.75" customHeight="1" x14ac:dyDescent="0.25">
      <c r="D242" s="2"/>
    </row>
    <row r="243" spans="4:4" ht="15.75" customHeight="1" x14ac:dyDescent="0.25">
      <c r="D243" s="2"/>
    </row>
    <row r="244" spans="4:4" ht="15.75" customHeight="1" x14ac:dyDescent="0.25">
      <c r="D244" s="2"/>
    </row>
    <row r="245" spans="4:4" ht="15.75" customHeight="1" x14ac:dyDescent="0.25">
      <c r="D245" s="2"/>
    </row>
    <row r="246" spans="4:4" ht="15.75" customHeight="1" x14ac:dyDescent="0.25">
      <c r="D246" s="2"/>
    </row>
    <row r="247" spans="4:4" ht="15.75" customHeight="1" x14ac:dyDescent="0.25">
      <c r="D247" s="2"/>
    </row>
    <row r="248" spans="4:4" ht="15.75" customHeight="1" x14ac:dyDescent="0.25">
      <c r="D248" s="2"/>
    </row>
    <row r="249" spans="4:4" ht="15.75" customHeight="1" x14ac:dyDescent="0.25">
      <c r="D249" s="2"/>
    </row>
    <row r="250" spans="4:4" ht="15.75" customHeight="1" x14ac:dyDescent="0.25">
      <c r="D250" s="2"/>
    </row>
    <row r="251" spans="4:4" ht="15.75" customHeight="1" x14ac:dyDescent="0.25">
      <c r="D251" s="2"/>
    </row>
    <row r="252" spans="4:4" ht="15.75" customHeight="1" x14ac:dyDescent="0.25">
      <c r="D252" s="2"/>
    </row>
    <row r="253" spans="4:4" ht="15.75" customHeight="1" x14ac:dyDescent="0.25">
      <c r="D253" s="2"/>
    </row>
    <row r="254" spans="4:4" ht="15.75" customHeight="1" x14ac:dyDescent="0.25">
      <c r="D254" s="2"/>
    </row>
    <row r="255" spans="4:4" ht="15.75" customHeight="1" x14ac:dyDescent="0.25">
      <c r="D255" s="2"/>
    </row>
    <row r="256" spans="4:4" ht="15.75" customHeight="1" x14ac:dyDescent="0.25">
      <c r="D256" s="2"/>
    </row>
    <row r="257" spans="4:4" ht="15.75" customHeight="1" x14ac:dyDescent="0.25">
      <c r="D257" s="2"/>
    </row>
    <row r="258" spans="4:4" ht="15.75" customHeight="1" x14ac:dyDescent="0.25">
      <c r="D258" s="2"/>
    </row>
    <row r="259" spans="4:4" ht="15.75" customHeight="1" x14ac:dyDescent="0.25">
      <c r="D259" s="2"/>
    </row>
    <row r="260" spans="4:4" ht="15.75" customHeight="1" x14ac:dyDescent="0.25">
      <c r="D260" s="2"/>
    </row>
    <row r="261" spans="4:4" ht="15.75" customHeight="1" x14ac:dyDescent="0.25">
      <c r="D261" s="2"/>
    </row>
    <row r="262" spans="4:4" ht="15.75" customHeight="1" x14ac:dyDescent="0.25">
      <c r="D262" s="2"/>
    </row>
    <row r="263" spans="4:4" ht="15.75" customHeight="1" x14ac:dyDescent="0.25">
      <c r="D263" s="2"/>
    </row>
    <row r="264" spans="4:4" ht="15.75" customHeight="1" x14ac:dyDescent="0.25">
      <c r="D264" s="2"/>
    </row>
    <row r="265" spans="4:4" ht="15.75" customHeight="1" x14ac:dyDescent="0.25">
      <c r="D265" s="2"/>
    </row>
    <row r="266" spans="4:4" ht="15.75" customHeight="1" x14ac:dyDescent="0.25">
      <c r="D266" s="2"/>
    </row>
    <row r="267" spans="4:4" ht="15.75" customHeight="1" x14ac:dyDescent="0.25">
      <c r="D267" s="2"/>
    </row>
    <row r="268" spans="4:4" ht="15.75" customHeight="1" x14ac:dyDescent="0.25">
      <c r="D268" s="2"/>
    </row>
    <row r="269" spans="4:4" ht="15.75" customHeight="1" x14ac:dyDescent="0.25">
      <c r="D269" s="2"/>
    </row>
    <row r="270" spans="4:4" ht="15.75" customHeight="1" x14ac:dyDescent="0.25">
      <c r="D270" s="2"/>
    </row>
    <row r="271" spans="4:4" ht="15.75" customHeight="1" x14ac:dyDescent="0.25">
      <c r="D271" s="2"/>
    </row>
    <row r="272" spans="4:4" ht="15.75" customHeight="1" x14ac:dyDescent="0.25">
      <c r="D272" s="2"/>
    </row>
    <row r="273" spans="4:4" ht="15.75" customHeight="1" x14ac:dyDescent="0.25">
      <c r="D273" s="2"/>
    </row>
    <row r="274" spans="4:4" ht="15.75" customHeight="1" x14ac:dyDescent="0.25">
      <c r="D274" s="2"/>
    </row>
    <row r="275" spans="4:4" ht="15.75" customHeight="1" x14ac:dyDescent="0.25">
      <c r="D275" s="2"/>
    </row>
    <row r="276" spans="4:4" ht="15.75" customHeight="1" x14ac:dyDescent="0.25">
      <c r="D276" s="2"/>
    </row>
    <row r="277" spans="4:4" ht="15.75" customHeight="1" x14ac:dyDescent="0.25">
      <c r="D277" s="2"/>
    </row>
    <row r="278" spans="4:4" ht="15.75" customHeight="1" x14ac:dyDescent="0.25">
      <c r="D278" s="2"/>
    </row>
    <row r="279" spans="4:4" ht="15.75" customHeight="1" x14ac:dyDescent="0.25">
      <c r="D279" s="2"/>
    </row>
    <row r="280" spans="4:4" ht="15.75" customHeight="1" x14ac:dyDescent="0.25">
      <c r="D280" s="2"/>
    </row>
    <row r="281" spans="4:4" ht="15.75" customHeight="1" x14ac:dyDescent="0.25">
      <c r="D281" s="2"/>
    </row>
    <row r="282" spans="4:4" ht="15.75" customHeight="1" x14ac:dyDescent="0.25">
      <c r="D282" s="2"/>
    </row>
    <row r="283" spans="4:4" ht="15.75" customHeight="1" x14ac:dyDescent="0.25">
      <c r="D283" s="2"/>
    </row>
    <row r="284" spans="4:4" ht="15.75" customHeight="1" x14ac:dyDescent="0.25">
      <c r="D284" s="2"/>
    </row>
    <row r="285" spans="4:4" ht="15.75" customHeight="1" x14ac:dyDescent="0.25">
      <c r="D285" s="2"/>
    </row>
    <row r="286" spans="4:4" ht="15.75" customHeight="1" x14ac:dyDescent="0.25">
      <c r="D286" s="2"/>
    </row>
    <row r="287" spans="4:4" ht="15.75" customHeight="1" x14ac:dyDescent="0.25">
      <c r="D287" s="2"/>
    </row>
    <row r="288" spans="4:4" ht="15.75" customHeight="1" x14ac:dyDescent="0.25">
      <c r="D288" s="2"/>
    </row>
    <row r="289" spans="4:4" ht="15.75" customHeight="1" x14ac:dyDescent="0.25">
      <c r="D289" s="2"/>
    </row>
    <row r="290" spans="4:4" ht="15.75" customHeight="1" x14ac:dyDescent="0.25">
      <c r="D290" s="2"/>
    </row>
    <row r="291" spans="4:4" ht="15.75" customHeight="1" x14ac:dyDescent="0.25">
      <c r="D291" s="2"/>
    </row>
    <row r="292" spans="4:4" ht="15.75" customHeight="1" x14ac:dyDescent="0.25">
      <c r="D292" s="2"/>
    </row>
    <row r="293" spans="4:4" ht="15.75" customHeight="1" x14ac:dyDescent="0.25">
      <c r="D293" s="2"/>
    </row>
    <row r="294" spans="4:4" ht="15.75" customHeight="1" x14ac:dyDescent="0.25">
      <c r="D294" s="2"/>
    </row>
    <row r="295" spans="4:4" ht="15.75" customHeight="1" x14ac:dyDescent="0.25">
      <c r="D295" s="2"/>
    </row>
    <row r="296" spans="4:4" ht="15.75" customHeight="1" x14ac:dyDescent="0.25">
      <c r="D296" s="2"/>
    </row>
    <row r="297" spans="4:4" ht="15.75" customHeight="1" x14ac:dyDescent="0.25">
      <c r="D297" s="2"/>
    </row>
    <row r="298" spans="4:4" ht="15.75" customHeight="1" x14ac:dyDescent="0.25">
      <c r="D298" s="2"/>
    </row>
    <row r="299" spans="4:4" ht="15.75" customHeight="1" x14ac:dyDescent="0.25">
      <c r="D299" s="2"/>
    </row>
    <row r="300" spans="4:4" ht="15.75" customHeight="1" x14ac:dyDescent="0.25">
      <c r="D300" s="2"/>
    </row>
    <row r="301" spans="4:4" ht="15.75" customHeight="1" x14ac:dyDescent="0.25">
      <c r="D301" s="2"/>
    </row>
    <row r="302" spans="4:4" ht="15.75" customHeight="1" x14ac:dyDescent="0.25">
      <c r="D302" s="2"/>
    </row>
    <row r="303" spans="4:4" ht="15.75" customHeight="1" x14ac:dyDescent="0.25">
      <c r="D303" s="2"/>
    </row>
    <row r="304" spans="4:4" ht="15.75" customHeight="1" x14ac:dyDescent="0.25">
      <c r="D304" s="2"/>
    </row>
    <row r="305" spans="4:4" ht="15.75" customHeight="1" x14ac:dyDescent="0.25">
      <c r="D305" s="2"/>
    </row>
    <row r="306" spans="4:4" ht="15.75" customHeight="1" x14ac:dyDescent="0.25">
      <c r="D306" s="2"/>
    </row>
    <row r="307" spans="4:4" ht="15.75" customHeight="1" x14ac:dyDescent="0.25">
      <c r="D307" s="2"/>
    </row>
    <row r="308" spans="4:4" ht="15.75" customHeight="1" x14ac:dyDescent="0.25">
      <c r="D308" s="2"/>
    </row>
    <row r="309" spans="4:4" ht="15.75" customHeight="1" x14ac:dyDescent="0.25">
      <c r="D309" s="2"/>
    </row>
    <row r="310" spans="4:4" ht="15.75" customHeight="1" x14ac:dyDescent="0.25">
      <c r="D310" s="2"/>
    </row>
    <row r="311" spans="4:4" ht="15.75" customHeight="1" x14ac:dyDescent="0.25">
      <c r="D311" s="2"/>
    </row>
    <row r="312" spans="4:4" ht="15.75" customHeight="1" x14ac:dyDescent="0.25">
      <c r="D312" s="2"/>
    </row>
    <row r="313" spans="4:4" ht="15.75" customHeight="1" x14ac:dyDescent="0.25">
      <c r="D313" s="2"/>
    </row>
    <row r="314" spans="4:4" ht="15.75" customHeight="1" x14ac:dyDescent="0.25">
      <c r="D314" s="2"/>
    </row>
    <row r="315" spans="4:4" ht="15.75" customHeight="1" x14ac:dyDescent="0.25">
      <c r="D315" s="2"/>
    </row>
    <row r="316" spans="4:4" ht="15.75" customHeight="1" x14ac:dyDescent="0.25">
      <c r="D316" s="2"/>
    </row>
    <row r="317" spans="4:4" ht="15.75" customHeight="1" x14ac:dyDescent="0.25">
      <c r="D317" s="2"/>
    </row>
    <row r="318" spans="4:4" ht="15.75" customHeight="1" x14ac:dyDescent="0.25">
      <c r="D318" s="2"/>
    </row>
    <row r="319" spans="4:4" ht="15.75" customHeight="1" x14ac:dyDescent="0.25">
      <c r="D319" s="2"/>
    </row>
    <row r="320" spans="4:4" ht="15.75" customHeight="1" x14ac:dyDescent="0.25">
      <c r="D320" s="2"/>
    </row>
    <row r="321" spans="4:4" ht="15.75" customHeight="1" x14ac:dyDescent="0.25">
      <c r="D321" s="2"/>
    </row>
    <row r="322" spans="4:4" ht="15.75" customHeight="1" x14ac:dyDescent="0.25">
      <c r="D322" s="2"/>
    </row>
    <row r="323" spans="4:4" ht="15.75" customHeight="1" x14ac:dyDescent="0.25">
      <c r="D323" s="2"/>
    </row>
    <row r="324" spans="4:4" ht="15.75" customHeight="1" x14ac:dyDescent="0.25">
      <c r="D324" s="2"/>
    </row>
    <row r="325" spans="4:4" ht="15.75" customHeight="1" x14ac:dyDescent="0.25">
      <c r="D325" s="2"/>
    </row>
    <row r="326" spans="4:4" ht="15.75" customHeight="1" x14ac:dyDescent="0.25">
      <c r="D326" s="2"/>
    </row>
    <row r="327" spans="4:4" ht="15.75" customHeight="1" x14ac:dyDescent="0.25">
      <c r="D327" s="2"/>
    </row>
    <row r="328" spans="4:4" ht="15.75" customHeight="1" x14ac:dyDescent="0.25">
      <c r="D328" s="2"/>
    </row>
    <row r="329" spans="4:4" ht="15.75" customHeight="1" x14ac:dyDescent="0.25">
      <c r="D329" s="2"/>
    </row>
    <row r="330" spans="4:4" ht="15.75" customHeight="1" x14ac:dyDescent="0.25">
      <c r="D330" s="2"/>
    </row>
    <row r="331" spans="4:4" ht="15.75" customHeight="1" x14ac:dyDescent="0.25">
      <c r="D331" s="2"/>
    </row>
    <row r="332" spans="4:4" ht="15.75" customHeight="1" x14ac:dyDescent="0.25">
      <c r="D332" s="2"/>
    </row>
    <row r="333" spans="4:4" ht="15.75" customHeight="1" x14ac:dyDescent="0.25">
      <c r="D333" s="2"/>
    </row>
    <row r="334" spans="4:4" ht="15.75" customHeight="1" x14ac:dyDescent="0.25">
      <c r="D334" s="2"/>
    </row>
    <row r="335" spans="4:4" ht="15.75" customHeight="1" x14ac:dyDescent="0.25">
      <c r="D335" s="2"/>
    </row>
    <row r="336" spans="4:4" ht="15.75" customHeight="1" x14ac:dyDescent="0.25">
      <c r="D336" s="2"/>
    </row>
    <row r="337" spans="4:4" ht="15.75" customHeight="1" x14ac:dyDescent="0.25">
      <c r="D337" s="2"/>
    </row>
    <row r="338" spans="4:4" ht="15.75" customHeight="1" x14ac:dyDescent="0.25">
      <c r="D338" s="2"/>
    </row>
    <row r="339" spans="4:4" ht="15.75" customHeight="1" x14ac:dyDescent="0.25">
      <c r="D339" s="2"/>
    </row>
    <row r="340" spans="4:4" ht="15.75" customHeight="1" x14ac:dyDescent="0.25">
      <c r="D340" s="2"/>
    </row>
    <row r="341" spans="4:4" ht="15.75" customHeight="1" x14ac:dyDescent="0.25">
      <c r="D341" s="2"/>
    </row>
    <row r="342" spans="4:4" ht="15.75" customHeight="1" x14ac:dyDescent="0.25">
      <c r="D342" s="2"/>
    </row>
    <row r="343" spans="4:4" ht="15.75" customHeight="1" x14ac:dyDescent="0.25">
      <c r="D343" s="2"/>
    </row>
    <row r="344" spans="4:4" ht="15.75" customHeight="1" x14ac:dyDescent="0.25">
      <c r="D344" s="2"/>
    </row>
    <row r="345" spans="4:4" ht="15.75" customHeight="1" x14ac:dyDescent="0.25">
      <c r="D345" s="2"/>
    </row>
    <row r="346" spans="4:4" ht="15.75" customHeight="1" x14ac:dyDescent="0.25">
      <c r="D346" s="2"/>
    </row>
    <row r="347" spans="4:4" ht="15.75" customHeight="1" x14ac:dyDescent="0.25">
      <c r="D347" s="2"/>
    </row>
    <row r="348" spans="4:4" ht="15.75" customHeight="1" x14ac:dyDescent="0.25">
      <c r="D348" s="2"/>
    </row>
    <row r="349" spans="4:4" ht="15.75" customHeight="1" x14ac:dyDescent="0.25">
      <c r="D349" s="2"/>
    </row>
    <row r="350" spans="4:4" ht="15.75" customHeight="1" x14ac:dyDescent="0.25">
      <c r="D350" s="2"/>
    </row>
    <row r="351" spans="4:4" ht="15.75" customHeight="1" x14ac:dyDescent="0.25">
      <c r="D351" s="2"/>
    </row>
    <row r="352" spans="4:4" ht="15.75" customHeight="1" x14ac:dyDescent="0.25">
      <c r="D352" s="2"/>
    </row>
    <row r="353" spans="4:4" ht="15.75" customHeight="1" x14ac:dyDescent="0.25">
      <c r="D353" s="2"/>
    </row>
    <row r="354" spans="4:4" ht="15.75" customHeight="1" x14ac:dyDescent="0.25">
      <c r="D354" s="2"/>
    </row>
    <row r="355" spans="4:4" ht="15.75" customHeight="1" x14ac:dyDescent="0.25">
      <c r="D355" s="2"/>
    </row>
    <row r="356" spans="4:4" ht="15.75" customHeight="1" x14ac:dyDescent="0.25">
      <c r="D356" s="2"/>
    </row>
    <row r="357" spans="4:4" ht="15.75" customHeight="1" x14ac:dyDescent="0.25">
      <c r="D357" s="2"/>
    </row>
    <row r="358" spans="4:4" ht="15.75" customHeight="1" x14ac:dyDescent="0.25">
      <c r="D358" s="2"/>
    </row>
    <row r="359" spans="4:4" ht="15.75" customHeight="1" x14ac:dyDescent="0.25">
      <c r="D359" s="2"/>
    </row>
    <row r="360" spans="4:4" ht="15.75" customHeight="1" x14ac:dyDescent="0.25">
      <c r="D360" s="2"/>
    </row>
    <row r="361" spans="4:4" ht="15.75" customHeight="1" x14ac:dyDescent="0.25">
      <c r="D361" s="2"/>
    </row>
    <row r="362" spans="4:4" ht="15.75" customHeight="1" x14ac:dyDescent="0.25">
      <c r="D362" s="2"/>
    </row>
    <row r="363" spans="4:4" ht="15.75" customHeight="1" x14ac:dyDescent="0.25">
      <c r="D363" s="2"/>
    </row>
    <row r="364" spans="4:4" ht="15.75" customHeight="1" x14ac:dyDescent="0.25">
      <c r="D364" s="2"/>
    </row>
    <row r="365" spans="4:4" ht="15.75" customHeight="1" x14ac:dyDescent="0.25">
      <c r="D365" s="2"/>
    </row>
    <row r="366" spans="4:4" ht="15.75" customHeight="1" x14ac:dyDescent="0.25">
      <c r="D366" s="2"/>
    </row>
    <row r="367" spans="4:4" ht="15.75" customHeight="1" x14ac:dyDescent="0.25">
      <c r="D367" s="2"/>
    </row>
    <row r="368" spans="4:4" ht="15.75" customHeight="1" x14ac:dyDescent="0.25">
      <c r="D368" s="2"/>
    </row>
    <row r="369" spans="4:4" ht="15.75" customHeight="1" x14ac:dyDescent="0.25">
      <c r="D369" s="2"/>
    </row>
    <row r="370" spans="4:4" ht="15.75" customHeight="1" x14ac:dyDescent="0.25">
      <c r="D370" s="2"/>
    </row>
    <row r="371" spans="4:4" ht="15.75" customHeight="1" x14ac:dyDescent="0.25">
      <c r="D371" s="2"/>
    </row>
    <row r="372" spans="4:4" ht="15.75" customHeight="1" x14ac:dyDescent="0.25">
      <c r="D372" s="2"/>
    </row>
    <row r="373" spans="4:4" ht="15.75" customHeight="1" x14ac:dyDescent="0.25">
      <c r="D373" s="2"/>
    </row>
    <row r="374" spans="4:4" ht="15.75" customHeight="1" x14ac:dyDescent="0.25">
      <c r="D374" s="2"/>
    </row>
    <row r="375" spans="4:4" ht="15.75" customHeight="1" x14ac:dyDescent="0.25">
      <c r="D375" s="2"/>
    </row>
    <row r="376" spans="4:4" ht="15.75" customHeight="1" x14ac:dyDescent="0.25">
      <c r="D376" s="2"/>
    </row>
    <row r="377" spans="4:4" ht="15.75" customHeight="1" x14ac:dyDescent="0.25">
      <c r="D377" s="2"/>
    </row>
    <row r="378" spans="4:4" ht="15.75" customHeight="1" x14ac:dyDescent="0.25">
      <c r="D378" s="2"/>
    </row>
    <row r="379" spans="4:4" ht="15.75" customHeight="1" x14ac:dyDescent="0.25">
      <c r="D379" s="2"/>
    </row>
    <row r="380" spans="4:4" ht="15.75" customHeight="1" x14ac:dyDescent="0.25">
      <c r="D380" s="2"/>
    </row>
    <row r="381" spans="4:4" ht="15.75" customHeight="1" x14ac:dyDescent="0.25">
      <c r="D381" s="2"/>
    </row>
    <row r="382" spans="4:4" ht="15.75" customHeight="1" x14ac:dyDescent="0.25">
      <c r="D382" s="2"/>
    </row>
    <row r="383" spans="4:4" ht="15.75" customHeight="1" x14ac:dyDescent="0.25">
      <c r="D383" s="2"/>
    </row>
    <row r="384" spans="4:4" ht="15.75" customHeight="1" x14ac:dyDescent="0.25">
      <c r="D384" s="2"/>
    </row>
    <row r="385" spans="4:4" ht="15.75" customHeight="1" x14ac:dyDescent="0.25">
      <c r="D385" s="2"/>
    </row>
    <row r="386" spans="4:4" ht="15.75" customHeight="1" x14ac:dyDescent="0.25">
      <c r="D386" s="2"/>
    </row>
    <row r="387" spans="4:4" ht="15.75" customHeight="1" x14ac:dyDescent="0.25">
      <c r="D387" s="2"/>
    </row>
    <row r="388" spans="4:4" ht="15.75" customHeight="1" x14ac:dyDescent="0.25">
      <c r="D388" s="2"/>
    </row>
    <row r="389" spans="4:4" ht="15.75" customHeight="1" x14ac:dyDescent="0.25">
      <c r="D389" s="2"/>
    </row>
    <row r="390" spans="4:4" ht="15.75" customHeight="1" x14ac:dyDescent="0.25">
      <c r="D390" s="2"/>
    </row>
    <row r="391" spans="4:4" ht="15.75" customHeight="1" x14ac:dyDescent="0.25">
      <c r="D391" s="2"/>
    </row>
    <row r="392" spans="4:4" ht="15.75" customHeight="1" x14ac:dyDescent="0.25">
      <c r="D392" s="2"/>
    </row>
    <row r="393" spans="4:4" ht="15.75" customHeight="1" x14ac:dyDescent="0.25">
      <c r="D393" s="2"/>
    </row>
    <row r="394" spans="4:4" ht="15.75" customHeight="1" x14ac:dyDescent="0.25">
      <c r="D394" s="2"/>
    </row>
    <row r="395" spans="4:4" ht="15.75" customHeight="1" x14ac:dyDescent="0.25">
      <c r="D395" s="2"/>
    </row>
    <row r="396" spans="4:4" ht="15.75" customHeight="1" x14ac:dyDescent="0.25">
      <c r="D396" s="2"/>
    </row>
    <row r="397" spans="4:4" ht="15.75" customHeight="1" x14ac:dyDescent="0.25">
      <c r="D397" s="2"/>
    </row>
    <row r="398" spans="4:4" ht="15.75" customHeight="1" x14ac:dyDescent="0.25">
      <c r="D398" s="2"/>
    </row>
    <row r="399" spans="4:4" ht="15.75" customHeight="1" x14ac:dyDescent="0.25">
      <c r="D399" s="2"/>
    </row>
    <row r="400" spans="4:4" ht="15.75" customHeight="1" x14ac:dyDescent="0.25">
      <c r="D400" s="2"/>
    </row>
    <row r="401" spans="4:4" ht="15.75" customHeight="1" x14ac:dyDescent="0.25">
      <c r="D401" s="2"/>
    </row>
    <row r="402" spans="4:4" ht="15.75" customHeight="1" x14ac:dyDescent="0.25">
      <c r="D402" s="2"/>
    </row>
    <row r="403" spans="4:4" ht="15.75" customHeight="1" x14ac:dyDescent="0.25">
      <c r="D403" s="2"/>
    </row>
    <row r="404" spans="4:4" ht="15.75" customHeight="1" x14ac:dyDescent="0.25">
      <c r="D404" s="2"/>
    </row>
    <row r="405" spans="4:4" ht="15.75" customHeight="1" x14ac:dyDescent="0.25">
      <c r="D405" s="2"/>
    </row>
    <row r="406" spans="4:4" ht="15.75" customHeight="1" x14ac:dyDescent="0.25">
      <c r="D406" s="2"/>
    </row>
    <row r="407" spans="4:4" ht="15.75" customHeight="1" x14ac:dyDescent="0.25">
      <c r="D407" s="2"/>
    </row>
    <row r="408" spans="4:4" ht="15.75" customHeight="1" x14ac:dyDescent="0.25">
      <c r="D408" s="2"/>
    </row>
    <row r="409" spans="4:4" ht="15.75" customHeight="1" x14ac:dyDescent="0.25">
      <c r="D409" s="2"/>
    </row>
    <row r="410" spans="4:4" ht="15.75" customHeight="1" x14ac:dyDescent="0.25">
      <c r="D410" s="2"/>
    </row>
    <row r="411" spans="4:4" ht="15.75" customHeight="1" x14ac:dyDescent="0.25">
      <c r="D411" s="2"/>
    </row>
    <row r="412" spans="4:4" ht="15.75" customHeight="1" x14ac:dyDescent="0.25">
      <c r="D412" s="2"/>
    </row>
    <row r="413" spans="4:4" ht="15.75" customHeight="1" x14ac:dyDescent="0.25">
      <c r="D413" s="2"/>
    </row>
    <row r="414" spans="4:4" ht="15.75" customHeight="1" x14ac:dyDescent="0.25">
      <c r="D414" s="2"/>
    </row>
    <row r="415" spans="4:4" ht="15.75" customHeight="1" x14ac:dyDescent="0.25">
      <c r="D415" s="2"/>
    </row>
    <row r="416" spans="4:4" ht="15.75" customHeight="1" x14ac:dyDescent="0.25">
      <c r="D416" s="2"/>
    </row>
    <row r="417" spans="4:4" ht="15.75" customHeight="1" x14ac:dyDescent="0.25">
      <c r="D417" s="2"/>
    </row>
    <row r="418" spans="4:4" ht="15.75" customHeight="1" x14ac:dyDescent="0.25">
      <c r="D418" s="2"/>
    </row>
    <row r="419" spans="4:4" ht="15.75" customHeight="1" x14ac:dyDescent="0.25">
      <c r="D419" s="2"/>
    </row>
    <row r="420" spans="4:4" ht="15.75" customHeight="1" x14ac:dyDescent="0.25">
      <c r="D420" s="2"/>
    </row>
    <row r="421" spans="4:4" ht="15.75" customHeight="1" x14ac:dyDescent="0.25">
      <c r="D421" s="2"/>
    </row>
    <row r="422" spans="4:4" ht="15.75" customHeight="1" x14ac:dyDescent="0.25">
      <c r="D422" s="2"/>
    </row>
    <row r="423" spans="4:4" ht="15.75" customHeight="1" x14ac:dyDescent="0.25">
      <c r="D423" s="2"/>
    </row>
    <row r="424" spans="4:4" ht="15.75" customHeight="1" x14ac:dyDescent="0.25">
      <c r="D424" s="2"/>
    </row>
    <row r="425" spans="4:4" ht="15.75" customHeight="1" x14ac:dyDescent="0.25">
      <c r="D425" s="2"/>
    </row>
    <row r="426" spans="4:4" ht="15.75" customHeight="1" x14ac:dyDescent="0.25">
      <c r="D426" s="2"/>
    </row>
    <row r="427" spans="4:4" ht="15.75" customHeight="1" x14ac:dyDescent="0.25">
      <c r="D427" s="2"/>
    </row>
    <row r="428" spans="4:4" ht="15.75" customHeight="1" x14ac:dyDescent="0.25">
      <c r="D428" s="2"/>
    </row>
    <row r="429" spans="4:4" ht="15.75" customHeight="1" x14ac:dyDescent="0.25">
      <c r="D429" s="2"/>
    </row>
    <row r="430" spans="4:4" ht="15.75" customHeight="1" x14ac:dyDescent="0.25">
      <c r="D430" s="2"/>
    </row>
    <row r="431" spans="4:4" ht="15.75" customHeight="1" x14ac:dyDescent="0.25">
      <c r="D431" s="2"/>
    </row>
    <row r="432" spans="4:4" ht="15.75" customHeight="1" x14ac:dyDescent="0.25">
      <c r="D432" s="2"/>
    </row>
    <row r="433" spans="4:4" ht="15.75" customHeight="1" x14ac:dyDescent="0.25">
      <c r="D433" s="2"/>
    </row>
    <row r="434" spans="4:4" ht="15.75" customHeight="1" x14ac:dyDescent="0.25">
      <c r="D434" s="2"/>
    </row>
    <row r="435" spans="4:4" ht="15.75" customHeight="1" x14ac:dyDescent="0.25">
      <c r="D435" s="2"/>
    </row>
    <row r="436" spans="4:4" ht="15.75" customHeight="1" x14ac:dyDescent="0.25">
      <c r="D436" s="2"/>
    </row>
    <row r="437" spans="4:4" ht="15.75" customHeight="1" x14ac:dyDescent="0.25">
      <c r="D437" s="2"/>
    </row>
    <row r="438" spans="4:4" ht="15.75" customHeight="1" x14ac:dyDescent="0.25">
      <c r="D438" s="2"/>
    </row>
    <row r="439" spans="4:4" ht="15.75" customHeight="1" x14ac:dyDescent="0.25">
      <c r="D439" s="2"/>
    </row>
    <row r="440" spans="4:4" ht="15.75" customHeight="1" x14ac:dyDescent="0.25">
      <c r="D440" s="2"/>
    </row>
    <row r="441" spans="4:4" ht="15.75" customHeight="1" x14ac:dyDescent="0.25">
      <c r="D441" s="2"/>
    </row>
    <row r="442" spans="4:4" ht="15.75" customHeight="1" x14ac:dyDescent="0.25">
      <c r="D442" s="2"/>
    </row>
    <row r="443" spans="4:4" ht="15.75" customHeight="1" x14ac:dyDescent="0.25">
      <c r="D443" s="2"/>
    </row>
    <row r="444" spans="4:4" ht="15.75" customHeight="1" x14ac:dyDescent="0.25">
      <c r="D444" s="2"/>
    </row>
    <row r="445" spans="4:4" ht="15.75" customHeight="1" x14ac:dyDescent="0.25">
      <c r="D445" s="2"/>
    </row>
    <row r="446" spans="4:4" ht="15.75" customHeight="1" x14ac:dyDescent="0.25">
      <c r="D446" s="2"/>
    </row>
    <row r="447" spans="4:4" ht="15.75" customHeight="1" x14ac:dyDescent="0.25">
      <c r="D447" s="2"/>
    </row>
    <row r="448" spans="4:4" ht="15.75" customHeight="1" x14ac:dyDescent="0.25">
      <c r="D448" s="2"/>
    </row>
    <row r="449" spans="4:4" ht="15.75" customHeight="1" x14ac:dyDescent="0.25">
      <c r="D449" s="2"/>
    </row>
    <row r="450" spans="4:4" ht="15.75" customHeight="1" x14ac:dyDescent="0.25">
      <c r="D450" s="2"/>
    </row>
    <row r="451" spans="4:4" ht="15.75" customHeight="1" x14ac:dyDescent="0.25">
      <c r="D451" s="2"/>
    </row>
    <row r="452" spans="4:4" ht="15.75" customHeight="1" x14ac:dyDescent="0.25">
      <c r="D452" s="2"/>
    </row>
    <row r="453" spans="4:4" ht="15.75" customHeight="1" x14ac:dyDescent="0.25">
      <c r="D453" s="2"/>
    </row>
    <row r="454" spans="4:4" ht="15.75" customHeight="1" x14ac:dyDescent="0.25">
      <c r="D454" s="2"/>
    </row>
    <row r="455" spans="4:4" ht="15.75" customHeight="1" x14ac:dyDescent="0.25">
      <c r="D455" s="2"/>
    </row>
    <row r="456" spans="4:4" ht="15.75" customHeight="1" x14ac:dyDescent="0.25">
      <c r="D456" s="2"/>
    </row>
    <row r="457" spans="4:4" ht="15.75" customHeight="1" x14ac:dyDescent="0.25">
      <c r="D457" s="2"/>
    </row>
    <row r="458" spans="4:4" ht="15.75" customHeight="1" x14ac:dyDescent="0.25">
      <c r="D458" s="2"/>
    </row>
    <row r="459" spans="4:4" ht="15.75" customHeight="1" x14ac:dyDescent="0.25">
      <c r="D459" s="2"/>
    </row>
    <row r="460" spans="4:4" ht="15.75" customHeight="1" x14ac:dyDescent="0.25">
      <c r="D460" s="2"/>
    </row>
    <row r="461" spans="4:4" ht="15.75" customHeight="1" x14ac:dyDescent="0.25">
      <c r="D461" s="2"/>
    </row>
    <row r="462" spans="4:4" ht="15.75" customHeight="1" x14ac:dyDescent="0.25">
      <c r="D462" s="2"/>
    </row>
    <row r="463" spans="4:4" ht="15.75" customHeight="1" x14ac:dyDescent="0.25">
      <c r="D463" s="2"/>
    </row>
    <row r="464" spans="4:4" ht="15.75" customHeight="1" x14ac:dyDescent="0.25">
      <c r="D464" s="2"/>
    </row>
    <row r="465" spans="4:4" ht="15.75" customHeight="1" x14ac:dyDescent="0.25">
      <c r="D465" s="2"/>
    </row>
    <row r="466" spans="4:4" ht="15.75" customHeight="1" x14ac:dyDescent="0.25">
      <c r="D466" s="2"/>
    </row>
    <row r="467" spans="4:4" ht="15.75" customHeight="1" x14ac:dyDescent="0.25">
      <c r="D467" s="2"/>
    </row>
    <row r="468" spans="4:4" ht="15.75" customHeight="1" x14ac:dyDescent="0.25">
      <c r="D468" s="2"/>
    </row>
    <row r="469" spans="4:4" ht="15.75" customHeight="1" x14ac:dyDescent="0.25">
      <c r="D469" s="2"/>
    </row>
    <row r="470" spans="4:4" ht="15.75" customHeight="1" x14ac:dyDescent="0.25">
      <c r="D470" s="2"/>
    </row>
    <row r="471" spans="4:4" ht="15.75" customHeight="1" x14ac:dyDescent="0.25">
      <c r="D471" s="2"/>
    </row>
    <row r="472" spans="4:4" ht="15.75" customHeight="1" x14ac:dyDescent="0.25">
      <c r="D472" s="2"/>
    </row>
    <row r="473" spans="4:4" ht="15.75" customHeight="1" x14ac:dyDescent="0.25">
      <c r="D473" s="2"/>
    </row>
    <row r="474" spans="4:4" ht="15.75" customHeight="1" x14ac:dyDescent="0.25">
      <c r="D474" s="2"/>
    </row>
    <row r="475" spans="4:4" ht="15.75" customHeight="1" x14ac:dyDescent="0.25">
      <c r="D475" s="2"/>
    </row>
    <row r="476" spans="4:4" ht="15.75" customHeight="1" x14ac:dyDescent="0.25">
      <c r="D476" s="2"/>
    </row>
    <row r="477" spans="4:4" ht="15.75" customHeight="1" x14ac:dyDescent="0.25">
      <c r="D477" s="2"/>
    </row>
    <row r="478" spans="4:4" ht="15.75" customHeight="1" x14ac:dyDescent="0.25">
      <c r="D478" s="2"/>
    </row>
    <row r="479" spans="4:4" ht="15.75" customHeight="1" x14ac:dyDescent="0.25">
      <c r="D479" s="2"/>
    </row>
    <row r="480" spans="4:4" ht="15.75" customHeight="1" x14ac:dyDescent="0.25">
      <c r="D480" s="2"/>
    </row>
    <row r="481" spans="4:4" ht="15.75" customHeight="1" x14ac:dyDescent="0.25">
      <c r="D481" s="2"/>
    </row>
    <row r="482" spans="4:4" ht="15.75" customHeight="1" x14ac:dyDescent="0.25">
      <c r="D482" s="2"/>
    </row>
    <row r="483" spans="4:4" ht="15.75" customHeight="1" x14ac:dyDescent="0.25">
      <c r="D483" s="2"/>
    </row>
    <row r="484" spans="4:4" ht="15.75" customHeight="1" x14ac:dyDescent="0.25">
      <c r="D484" s="2"/>
    </row>
    <row r="485" spans="4:4" ht="15.75" customHeight="1" x14ac:dyDescent="0.25">
      <c r="D485" s="2"/>
    </row>
    <row r="486" spans="4:4" ht="15.75" customHeight="1" x14ac:dyDescent="0.25">
      <c r="D486" s="2"/>
    </row>
    <row r="487" spans="4:4" ht="15.75" customHeight="1" x14ac:dyDescent="0.25">
      <c r="D487" s="2"/>
    </row>
    <row r="488" spans="4:4" ht="15.75" customHeight="1" x14ac:dyDescent="0.25">
      <c r="D488" s="2"/>
    </row>
    <row r="489" spans="4:4" ht="15.75" customHeight="1" x14ac:dyDescent="0.25">
      <c r="D489" s="2"/>
    </row>
    <row r="490" spans="4:4" ht="15.75" customHeight="1" x14ac:dyDescent="0.25">
      <c r="D490" s="2"/>
    </row>
    <row r="491" spans="4:4" ht="15.75" customHeight="1" x14ac:dyDescent="0.25">
      <c r="D491" s="2"/>
    </row>
    <row r="492" spans="4:4" ht="15.75" customHeight="1" x14ac:dyDescent="0.25">
      <c r="D492" s="2"/>
    </row>
    <row r="493" spans="4:4" ht="15.75" customHeight="1" x14ac:dyDescent="0.25">
      <c r="D493" s="2"/>
    </row>
    <row r="494" spans="4:4" ht="15.75" customHeight="1" x14ac:dyDescent="0.25">
      <c r="D494" s="2"/>
    </row>
    <row r="495" spans="4:4" ht="15.75" customHeight="1" x14ac:dyDescent="0.25">
      <c r="D495" s="2"/>
    </row>
    <row r="496" spans="4:4" ht="15.75" customHeight="1" x14ac:dyDescent="0.25">
      <c r="D496" s="2"/>
    </row>
    <row r="497" spans="4:4" ht="15.75" customHeight="1" x14ac:dyDescent="0.25">
      <c r="D497" s="2"/>
    </row>
    <row r="498" spans="4:4" ht="15.75" customHeight="1" x14ac:dyDescent="0.25">
      <c r="D498" s="2"/>
    </row>
    <row r="499" spans="4:4" ht="15.75" customHeight="1" x14ac:dyDescent="0.25">
      <c r="D499" s="2"/>
    </row>
    <row r="500" spans="4:4" ht="15.75" customHeight="1" x14ac:dyDescent="0.25">
      <c r="D500" s="2"/>
    </row>
    <row r="501" spans="4:4" ht="15.75" customHeight="1" x14ac:dyDescent="0.25">
      <c r="D501" s="2"/>
    </row>
    <row r="502" spans="4:4" ht="15.75" customHeight="1" x14ac:dyDescent="0.25">
      <c r="D502" s="2"/>
    </row>
    <row r="503" spans="4:4" ht="15.75" customHeight="1" x14ac:dyDescent="0.25">
      <c r="D503" s="2"/>
    </row>
    <row r="504" spans="4:4" ht="15.75" customHeight="1" x14ac:dyDescent="0.25">
      <c r="D504" s="2"/>
    </row>
    <row r="505" spans="4:4" ht="15.75" customHeight="1" x14ac:dyDescent="0.25">
      <c r="D505" s="2"/>
    </row>
    <row r="506" spans="4:4" ht="15.75" customHeight="1" x14ac:dyDescent="0.25">
      <c r="D506" s="2"/>
    </row>
    <row r="507" spans="4:4" ht="15.75" customHeight="1" x14ac:dyDescent="0.25">
      <c r="D507" s="2"/>
    </row>
    <row r="508" spans="4:4" ht="15.75" customHeight="1" x14ac:dyDescent="0.25">
      <c r="D508" s="2"/>
    </row>
    <row r="509" spans="4:4" ht="15.75" customHeight="1" x14ac:dyDescent="0.25">
      <c r="D509" s="2"/>
    </row>
    <row r="510" spans="4:4" ht="15.75" customHeight="1" x14ac:dyDescent="0.25">
      <c r="D510" s="2"/>
    </row>
    <row r="511" spans="4:4" ht="15.75" customHeight="1" x14ac:dyDescent="0.25">
      <c r="D511" s="2"/>
    </row>
    <row r="512" spans="4:4" ht="15.75" customHeight="1" x14ac:dyDescent="0.25">
      <c r="D512" s="2"/>
    </row>
    <row r="513" spans="4:4" ht="15.75" customHeight="1" x14ac:dyDescent="0.25">
      <c r="D513" s="2"/>
    </row>
    <row r="514" spans="4:4" ht="15.75" customHeight="1" x14ac:dyDescent="0.25">
      <c r="D514" s="2"/>
    </row>
    <row r="515" spans="4:4" ht="15.75" customHeight="1" x14ac:dyDescent="0.25">
      <c r="D515" s="2"/>
    </row>
    <row r="516" spans="4:4" ht="15.75" customHeight="1" x14ac:dyDescent="0.25">
      <c r="D516" s="2"/>
    </row>
    <row r="517" spans="4:4" ht="15.75" customHeight="1" x14ac:dyDescent="0.25">
      <c r="D517" s="2"/>
    </row>
    <row r="518" spans="4:4" ht="15.75" customHeight="1" x14ac:dyDescent="0.25">
      <c r="D518" s="2"/>
    </row>
    <row r="519" spans="4:4" ht="15.75" customHeight="1" x14ac:dyDescent="0.25">
      <c r="D519" s="2"/>
    </row>
    <row r="520" spans="4:4" ht="15.75" customHeight="1" x14ac:dyDescent="0.25">
      <c r="D520" s="2"/>
    </row>
    <row r="521" spans="4:4" ht="15.75" customHeight="1" x14ac:dyDescent="0.25">
      <c r="D521" s="2"/>
    </row>
    <row r="522" spans="4:4" ht="15.75" customHeight="1" x14ac:dyDescent="0.25">
      <c r="D522" s="2"/>
    </row>
    <row r="523" spans="4:4" ht="15.75" customHeight="1" x14ac:dyDescent="0.25">
      <c r="D523" s="2"/>
    </row>
    <row r="524" spans="4:4" ht="15.75" customHeight="1" x14ac:dyDescent="0.25">
      <c r="D524" s="2"/>
    </row>
    <row r="525" spans="4:4" ht="15.75" customHeight="1" x14ac:dyDescent="0.25">
      <c r="D525" s="2"/>
    </row>
    <row r="526" spans="4:4" ht="15.75" customHeight="1" x14ac:dyDescent="0.25">
      <c r="D526" s="2"/>
    </row>
    <row r="527" spans="4:4" ht="15.75" customHeight="1" x14ac:dyDescent="0.25">
      <c r="D527" s="2"/>
    </row>
    <row r="528" spans="4:4" ht="15.75" customHeight="1" x14ac:dyDescent="0.25">
      <c r="D528" s="2"/>
    </row>
    <row r="529" spans="4:4" ht="15.75" customHeight="1" x14ac:dyDescent="0.25">
      <c r="D529" s="2"/>
    </row>
    <row r="530" spans="4:4" ht="15.75" customHeight="1" x14ac:dyDescent="0.25">
      <c r="D530" s="2"/>
    </row>
    <row r="531" spans="4:4" ht="15.75" customHeight="1" x14ac:dyDescent="0.25">
      <c r="D531" s="2"/>
    </row>
    <row r="532" spans="4:4" ht="15.75" customHeight="1" x14ac:dyDescent="0.25">
      <c r="D532" s="2"/>
    </row>
    <row r="533" spans="4:4" ht="15.75" customHeight="1" x14ac:dyDescent="0.25">
      <c r="D533" s="2"/>
    </row>
    <row r="534" spans="4:4" ht="15.75" customHeight="1" x14ac:dyDescent="0.25">
      <c r="D534" s="2"/>
    </row>
    <row r="535" spans="4:4" ht="15.75" customHeight="1" x14ac:dyDescent="0.25">
      <c r="D535" s="2"/>
    </row>
    <row r="536" spans="4:4" ht="15.75" customHeight="1" x14ac:dyDescent="0.25">
      <c r="D536" s="2"/>
    </row>
    <row r="537" spans="4:4" ht="15.75" customHeight="1" x14ac:dyDescent="0.25">
      <c r="D537" s="2"/>
    </row>
    <row r="538" spans="4:4" ht="15.75" customHeight="1" x14ac:dyDescent="0.25">
      <c r="D538" s="2"/>
    </row>
    <row r="539" spans="4:4" ht="15.75" customHeight="1" x14ac:dyDescent="0.25">
      <c r="D539" s="2"/>
    </row>
    <row r="540" spans="4:4" ht="15.75" customHeight="1" x14ac:dyDescent="0.25">
      <c r="D540" s="2"/>
    </row>
    <row r="541" spans="4:4" ht="15.75" customHeight="1" x14ac:dyDescent="0.25">
      <c r="D541" s="2"/>
    </row>
    <row r="542" spans="4:4" ht="15.75" customHeight="1" x14ac:dyDescent="0.25">
      <c r="D542" s="2"/>
    </row>
    <row r="543" spans="4:4" ht="15.75" customHeight="1" x14ac:dyDescent="0.25">
      <c r="D543" s="2"/>
    </row>
    <row r="544" spans="4:4" ht="15.75" customHeight="1" x14ac:dyDescent="0.25">
      <c r="D544" s="2"/>
    </row>
    <row r="545" spans="4:4" ht="15.75" customHeight="1" x14ac:dyDescent="0.25">
      <c r="D545" s="2"/>
    </row>
    <row r="546" spans="4:4" ht="15.75" customHeight="1" x14ac:dyDescent="0.25">
      <c r="D546" s="2"/>
    </row>
    <row r="547" spans="4:4" ht="15.75" customHeight="1" x14ac:dyDescent="0.25">
      <c r="D547" s="2"/>
    </row>
    <row r="548" spans="4:4" ht="15.75" customHeight="1" x14ac:dyDescent="0.25">
      <c r="D548" s="2"/>
    </row>
    <row r="549" spans="4:4" ht="15.75" customHeight="1" x14ac:dyDescent="0.25">
      <c r="D549" s="2"/>
    </row>
    <row r="550" spans="4:4" ht="15.75" customHeight="1" x14ac:dyDescent="0.25">
      <c r="D550" s="2"/>
    </row>
    <row r="551" spans="4:4" ht="15.75" customHeight="1" x14ac:dyDescent="0.25">
      <c r="D551" s="2"/>
    </row>
    <row r="552" spans="4:4" ht="15.75" customHeight="1" x14ac:dyDescent="0.25">
      <c r="D552" s="2"/>
    </row>
    <row r="553" spans="4:4" ht="15.75" customHeight="1" x14ac:dyDescent="0.25">
      <c r="D553" s="2"/>
    </row>
    <row r="554" spans="4:4" ht="15.75" customHeight="1" x14ac:dyDescent="0.25">
      <c r="D554" s="2"/>
    </row>
    <row r="555" spans="4:4" ht="15.75" customHeight="1" x14ac:dyDescent="0.25">
      <c r="D555" s="2"/>
    </row>
    <row r="556" spans="4:4" ht="15.75" customHeight="1" x14ac:dyDescent="0.25">
      <c r="D556" s="2"/>
    </row>
    <row r="557" spans="4:4" ht="15.75" customHeight="1" x14ac:dyDescent="0.25">
      <c r="D557" s="2"/>
    </row>
    <row r="558" spans="4:4" ht="15.75" customHeight="1" x14ac:dyDescent="0.25">
      <c r="D558" s="2"/>
    </row>
    <row r="559" spans="4:4" ht="15.75" customHeight="1" x14ac:dyDescent="0.25">
      <c r="D559" s="2"/>
    </row>
    <row r="560" spans="4:4" ht="15.75" customHeight="1" x14ac:dyDescent="0.25">
      <c r="D560" s="2"/>
    </row>
    <row r="561" spans="4:4" ht="15.75" customHeight="1" x14ac:dyDescent="0.25">
      <c r="D561" s="2"/>
    </row>
    <row r="562" spans="4:4" ht="15.75" customHeight="1" x14ac:dyDescent="0.25">
      <c r="D562" s="2"/>
    </row>
    <row r="563" spans="4:4" ht="15.75" customHeight="1" x14ac:dyDescent="0.25">
      <c r="D563" s="2"/>
    </row>
    <row r="564" spans="4:4" ht="15.75" customHeight="1" x14ac:dyDescent="0.25">
      <c r="D564" s="2"/>
    </row>
    <row r="565" spans="4:4" ht="15.75" customHeight="1" x14ac:dyDescent="0.25">
      <c r="D565" s="2"/>
    </row>
    <row r="566" spans="4:4" ht="15.75" customHeight="1" x14ac:dyDescent="0.25">
      <c r="D566" s="2"/>
    </row>
    <row r="567" spans="4:4" ht="15.75" customHeight="1" x14ac:dyDescent="0.25">
      <c r="D567" s="2"/>
    </row>
    <row r="568" spans="4:4" ht="15.75" customHeight="1" x14ac:dyDescent="0.25">
      <c r="D568" s="2"/>
    </row>
    <row r="569" spans="4:4" ht="15.75" customHeight="1" x14ac:dyDescent="0.25">
      <c r="D569" s="2"/>
    </row>
    <row r="570" spans="4:4" ht="15.75" customHeight="1" x14ac:dyDescent="0.25">
      <c r="D570" s="2"/>
    </row>
    <row r="571" spans="4:4" ht="15.75" customHeight="1" x14ac:dyDescent="0.25">
      <c r="D571" s="2"/>
    </row>
    <row r="572" spans="4:4" ht="15.75" customHeight="1" x14ac:dyDescent="0.25">
      <c r="D572" s="2"/>
    </row>
    <row r="573" spans="4:4" ht="15.75" customHeight="1" x14ac:dyDescent="0.25">
      <c r="D573" s="2"/>
    </row>
    <row r="574" spans="4:4" ht="15.75" customHeight="1" x14ac:dyDescent="0.25">
      <c r="D574" s="2"/>
    </row>
    <row r="575" spans="4:4" ht="15.75" customHeight="1" x14ac:dyDescent="0.25">
      <c r="D575" s="2"/>
    </row>
    <row r="576" spans="4:4" ht="15.75" customHeight="1" x14ac:dyDescent="0.25">
      <c r="D576" s="2"/>
    </row>
    <row r="577" spans="4:4" ht="15.75" customHeight="1" x14ac:dyDescent="0.25">
      <c r="D577" s="2"/>
    </row>
    <row r="578" spans="4:4" ht="15.75" customHeight="1" x14ac:dyDescent="0.25">
      <c r="D578" s="2"/>
    </row>
    <row r="579" spans="4:4" ht="15.75" customHeight="1" x14ac:dyDescent="0.25">
      <c r="D579" s="2"/>
    </row>
    <row r="580" spans="4:4" ht="15.75" customHeight="1" x14ac:dyDescent="0.25">
      <c r="D580" s="2"/>
    </row>
    <row r="581" spans="4:4" ht="15.75" customHeight="1" x14ac:dyDescent="0.25">
      <c r="D581" s="2"/>
    </row>
    <row r="582" spans="4:4" ht="15.75" customHeight="1" x14ac:dyDescent="0.25">
      <c r="D582" s="2"/>
    </row>
    <row r="583" spans="4:4" ht="15.75" customHeight="1" x14ac:dyDescent="0.25">
      <c r="D583" s="2"/>
    </row>
    <row r="584" spans="4:4" ht="15.75" customHeight="1" x14ac:dyDescent="0.25">
      <c r="D584" s="2"/>
    </row>
    <row r="585" spans="4:4" ht="15.75" customHeight="1" x14ac:dyDescent="0.25">
      <c r="D585" s="2"/>
    </row>
    <row r="586" spans="4:4" ht="15.75" customHeight="1" x14ac:dyDescent="0.25">
      <c r="D586" s="2"/>
    </row>
    <row r="587" spans="4:4" ht="15.75" customHeight="1" x14ac:dyDescent="0.25">
      <c r="D587" s="2"/>
    </row>
    <row r="588" spans="4:4" ht="15.75" customHeight="1" x14ac:dyDescent="0.25">
      <c r="D588" s="2"/>
    </row>
    <row r="589" spans="4:4" ht="15.75" customHeight="1" x14ac:dyDescent="0.25">
      <c r="D589" s="2"/>
    </row>
    <row r="590" spans="4:4" ht="15.75" customHeight="1" x14ac:dyDescent="0.25">
      <c r="D590" s="2"/>
    </row>
    <row r="591" spans="4:4" ht="15.75" customHeight="1" x14ac:dyDescent="0.25">
      <c r="D591" s="2"/>
    </row>
    <row r="592" spans="4:4" ht="15.75" customHeight="1" x14ac:dyDescent="0.25">
      <c r="D592" s="2"/>
    </row>
    <row r="593" spans="4:4" ht="15.75" customHeight="1" x14ac:dyDescent="0.25">
      <c r="D593" s="2"/>
    </row>
    <row r="594" spans="4:4" ht="15.75" customHeight="1" x14ac:dyDescent="0.25">
      <c r="D594" s="2"/>
    </row>
    <row r="595" spans="4:4" ht="15.75" customHeight="1" x14ac:dyDescent="0.25">
      <c r="D595" s="2"/>
    </row>
    <row r="596" spans="4:4" ht="15.75" customHeight="1" x14ac:dyDescent="0.25">
      <c r="D596" s="2"/>
    </row>
    <row r="597" spans="4:4" ht="15.75" customHeight="1" x14ac:dyDescent="0.25">
      <c r="D597" s="2"/>
    </row>
    <row r="598" spans="4:4" ht="15.75" customHeight="1" x14ac:dyDescent="0.25">
      <c r="D598" s="2"/>
    </row>
    <row r="599" spans="4:4" ht="15.75" customHeight="1" x14ac:dyDescent="0.25">
      <c r="D599" s="2"/>
    </row>
    <row r="600" spans="4:4" ht="15.75" customHeight="1" x14ac:dyDescent="0.25">
      <c r="D600" s="2"/>
    </row>
    <row r="601" spans="4:4" ht="15.75" customHeight="1" x14ac:dyDescent="0.25">
      <c r="D601" s="2"/>
    </row>
    <row r="602" spans="4:4" ht="15.75" customHeight="1" x14ac:dyDescent="0.25">
      <c r="D602" s="2"/>
    </row>
    <row r="603" spans="4:4" ht="15.75" customHeight="1" x14ac:dyDescent="0.25">
      <c r="D603" s="2"/>
    </row>
    <row r="604" spans="4:4" ht="15.75" customHeight="1" x14ac:dyDescent="0.25">
      <c r="D604" s="2"/>
    </row>
    <row r="605" spans="4:4" ht="15.75" customHeight="1" x14ac:dyDescent="0.25">
      <c r="D605" s="2"/>
    </row>
    <row r="606" spans="4:4" ht="15.75" customHeight="1" x14ac:dyDescent="0.25">
      <c r="D606" s="2"/>
    </row>
    <row r="607" spans="4:4" ht="15.75" customHeight="1" x14ac:dyDescent="0.25">
      <c r="D607" s="2"/>
    </row>
    <row r="608" spans="4:4" ht="15.75" customHeight="1" x14ac:dyDescent="0.25">
      <c r="D608" s="2"/>
    </row>
    <row r="609" spans="4:4" ht="15.75" customHeight="1" x14ac:dyDescent="0.25">
      <c r="D609" s="2"/>
    </row>
    <row r="610" spans="4:4" ht="15.75" customHeight="1" x14ac:dyDescent="0.25">
      <c r="D610" s="2"/>
    </row>
    <row r="611" spans="4:4" ht="15.75" customHeight="1" x14ac:dyDescent="0.25">
      <c r="D611" s="2"/>
    </row>
    <row r="612" spans="4:4" ht="15.75" customHeight="1" x14ac:dyDescent="0.25">
      <c r="D612" s="2"/>
    </row>
    <row r="613" spans="4:4" ht="15.75" customHeight="1" x14ac:dyDescent="0.25">
      <c r="D613" s="2"/>
    </row>
    <row r="614" spans="4:4" ht="15.75" customHeight="1" x14ac:dyDescent="0.25">
      <c r="D614" s="2"/>
    </row>
    <row r="615" spans="4:4" ht="15.75" customHeight="1" x14ac:dyDescent="0.25">
      <c r="D615" s="2"/>
    </row>
    <row r="616" spans="4:4" ht="15.75" customHeight="1" x14ac:dyDescent="0.25">
      <c r="D616" s="2"/>
    </row>
    <row r="617" spans="4:4" ht="15.75" customHeight="1" x14ac:dyDescent="0.25">
      <c r="D617" s="2"/>
    </row>
    <row r="618" spans="4:4" ht="15.75" customHeight="1" x14ac:dyDescent="0.25">
      <c r="D618" s="2"/>
    </row>
    <row r="619" spans="4:4" ht="15.75" customHeight="1" x14ac:dyDescent="0.25">
      <c r="D619" s="2"/>
    </row>
    <row r="620" spans="4:4" ht="15.75" customHeight="1" x14ac:dyDescent="0.25">
      <c r="D620" s="2"/>
    </row>
    <row r="621" spans="4:4" ht="15.75" customHeight="1" x14ac:dyDescent="0.25">
      <c r="D621" s="2"/>
    </row>
    <row r="622" spans="4:4" ht="15.75" customHeight="1" x14ac:dyDescent="0.25">
      <c r="D622" s="2"/>
    </row>
    <row r="623" spans="4:4" ht="15.75" customHeight="1" x14ac:dyDescent="0.25">
      <c r="D623" s="2"/>
    </row>
    <row r="624" spans="4:4" ht="15.75" customHeight="1" x14ac:dyDescent="0.25">
      <c r="D624" s="2"/>
    </row>
    <row r="625" spans="4:4" ht="15.75" customHeight="1" x14ac:dyDescent="0.25">
      <c r="D625" s="2"/>
    </row>
    <row r="626" spans="4:4" ht="15.75" customHeight="1" x14ac:dyDescent="0.25">
      <c r="D626" s="2"/>
    </row>
    <row r="627" spans="4:4" ht="15.75" customHeight="1" x14ac:dyDescent="0.25">
      <c r="D627" s="2"/>
    </row>
    <row r="628" spans="4:4" ht="15.75" customHeight="1" x14ac:dyDescent="0.25">
      <c r="D628" s="2"/>
    </row>
    <row r="629" spans="4:4" ht="15.75" customHeight="1" x14ac:dyDescent="0.25">
      <c r="D629" s="2"/>
    </row>
    <row r="630" spans="4:4" ht="15.75" customHeight="1" x14ac:dyDescent="0.25">
      <c r="D630" s="2"/>
    </row>
    <row r="631" spans="4:4" ht="15.75" customHeight="1" x14ac:dyDescent="0.25">
      <c r="D631" s="2"/>
    </row>
    <row r="632" spans="4:4" ht="15.75" customHeight="1" x14ac:dyDescent="0.25">
      <c r="D632" s="2"/>
    </row>
    <row r="633" spans="4:4" ht="15.75" customHeight="1" x14ac:dyDescent="0.25">
      <c r="D633" s="2"/>
    </row>
    <row r="634" spans="4:4" ht="15.75" customHeight="1" x14ac:dyDescent="0.25">
      <c r="D634" s="2"/>
    </row>
    <row r="635" spans="4:4" ht="15.75" customHeight="1" x14ac:dyDescent="0.25">
      <c r="D635" s="2"/>
    </row>
    <row r="636" spans="4:4" ht="15.75" customHeight="1" x14ac:dyDescent="0.25">
      <c r="D636" s="2"/>
    </row>
    <row r="637" spans="4:4" ht="15.75" customHeight="1" x14ac:dyDescent="0.25">
      <c r="D637" s="2"/>
    </row>
    <row r="638" spans="4:4" ht="15.75" customHeight="1" x14ac:dyDescent="0.25">
      <c r="D638" s="2"/>
    </row>
    <row r="639" spans="4:4" ht="15.75" customHeight="1" x14ac:dyDescent="0.25">
      <c r="D639" s="2"/>
    </row>
    <row r="640" spans="4:4" ht="15.75" customHeight="1" x14ac:dyDescent="0.25">
      <c r="D640" s="2"/>
    </row>
    <row r="641" spans="4:4" ht="15.75" customHeight="1" x14ac:dyDescent="0.25">
      <c r="D641" s="2"/>
    </row>
    <row r="642" spans="4:4" ht="15.75" customHeight="1" x14ac:dyDescent="0.25">
      <c r="D642" s="2"/>
    </row>
    <row r="643" spans="4:4" ht="15.75" customHeight="1" x14ac:dyDescent="0.25">
      <c r="D643" s="2"/>
    </row>
    <row r="644" spans="4:4" ht="15.75" customHeight="1" x14ac:dyDescent="0.25">
      <c r="D644" s="2"/>
    </row>
    <row r="645" spans="4:4" ht="15.75" customHeight="1" x14ac:dyDescent="0.25">
      <c r="D645" s="2"/>
    </row>
    <row r="646" spans="4:4" ht="15.75" customHeight="1" x14ac:dyDescent="0.25">
      <c r="D646" s="2"/>
    </row>
    <row r="647" spans="4:4" ht="15.75" customHeight="1" x14ac:dyDescent="0.25">
      <c r="D647" s="2"/>
    </row>
    <row r="648" spans="4:4" ht="15.75" customHeight="1" x14ac:dyDescent="0.25">
      <c r="D648" s="2"/>
    </row>
    <row r="649" spans="4:4" ht="15.75" customHeight="1" x14ac:dyDescent="0.25">
      <c r="D649" s="2"/>
    </row>
    <row r="650" spans="4:4" ht="15.75" customHeight="1" x14ac:dyDescent="0.25">
      <c r="D650" s="2"/>
    </row>
    <row r="651" spans="4:4" ht="15.75" customHeight="1" x14ac:dyDescent="0.25">
      <c r="D651" s="2"/>
    </row>
    <row r="652" spans="4:4" ht="15.75" customHeight="1" x14ac:dyDescent="0.25">
      <c r="D652" s="2"/>
    </row>
    <row r="653" spans="4:4" ht="15.75" customHeight="1" x14ac:dyDescent="0.25">
      <c r="D653" s="2"/>
    </row>
    <row r="654" spans="4:4" ht="15.75" customHeight="1" x14ac:dyDescent="0.25">
      <c r="D654" s="2"/>
    </row>
    <row r="655" spans="4:4" ht="15.75" customHeight="1" x14ac:dyDescent="0.25">
      <c r="D655" s="2"/>
    </row>
    <row r="656" spans="4:4" ht="15.75" customHeight="1" x14ac:dyDescent="0.25">
      <c r="D656" s="2"/>
    </row>
    <row r="657" spans="4:4" ht="15.75" customHeight="1" x14ac:dyDescent="0.25">
      <c r="D657" s="2"/>
    </row>
    <row r="658" spans="4:4" ht="15.75" customHeight="1" x14ac:dyDescent="0.25">
      <c r="D658" s="2"/>
    </row>
    <row r="659" spans="4:4" ht="15.75" customHeight="1" x14ac:dyDescent="0.25">
      <c r="D659" s="2"/>
    </row>
    <row r="660" spans="4:4" ht="15.75" customHeight="1" x14ac:dyDescent="0.25">
      <c r="D660" s="2"/>
    </row>
    <row r="661" spans="4:4" ht="15.75" customHeight="1" x14ac:dyDescent="0.25">
      <c r="D661" s="2"/>
    </row>
    <row r="662" spans="4:4" ht="15.75" customHeight="1" x14ac:dyDescent="0.25">
      <c r="D662" s="2"/>
    </row>
    <row r="663" spans="4:4" ht="15.75" customHeight="1" x14ac:dyDescent="0.25">
      <c r="D663" s="2"/>
    </row>
    <row r="664" spans="4:4" ht="15.75" customHeight="1" x14ac:dyDescent="0.25">
      <c r="D664" s="2"/>
    </row>
    <row r="665" spans="4:4" ht="15.75" customHeight="1" x14ac:dyDescent="0.25">
      <c r="D665" s="2"/>
    </row>
    <row r="666" spans="4:4" ht="15.75" customHeight="1" x14ac:dyDescent="0.25">
      <c r="D666" s="2"/>
    </row>
    <row r="667" spans="4:4" ht="15.75" customHeight="1" x14ac:dyDescent="0.25">
      <c r="D667" s="2"/>
    </row>
    <row r="668" spans="4:4" ht="15.75" customHeight="1" x14ac:dyDescent="0.25">
      <c r="D668" s="2"/>
    </row>
    <row r="669" spans="4:4" ht="15.75" customHeight="1" x14ac:dyDescent="0.25">
      <c r="D669" s="2"/>
    </row>
    <row r="670" spans="4:4" ht="15.75" customHeight="1" x14ac:dyDescent="0.25">
      <c r="D670" s="2"/>
    </row>
    <row r="671" spans="4:4" ht="15.75" customHeight="1" x14ac:dyDescent="0.25">
      <c r="D671" s="2"/>
    </row>
    <row r="672" spans="4:4" ht="15.75" customHeight="1" x14ac:dyDescent="0.25">
      <c r="D672" s="2"/>
    </row>
    <row r="673" spans="4:4" ht="15.75" customHeight="1" x14ac:dyDescent="0.25">
      <c r="D673" s="2"/>
    </row>
    <row r="674" spans="4:4" ht="15.75" customHeight="1" x14ac:dyDescent="0.25">
      <c r="D674" s="2"/>
    </row>
    <row r="675" spans="4:4" ht="15.75" customHeight="1" x14ac:dyDescent="0.25">
      <c r="D675" s="2"/>
    </row>
    <row r="676" spans="4:4" ht="15.75" customHeight="1" x14ac:dyDescent="0.25">
      <c r="D676" s="2"/>
    </row>
    <row r="677" spans="4:4" ht="15.75" customHeight="1" x14ac:dyDescent="0.25">
      <c r="D677" s="2"/>
    </row>
    <row r="678" spans="4:4" ht="15.75" customHeight="1" x14ac:dyDescent="0.25">
      <c r="D678" s="2"/>
    </row>
    <row r="679" spans="4:4" ht="15.75" customHeight="1" x14ac:dyDescent="0.25">
      <c r="D679" s="2"/>
    </row>
    <row r="680" spans="4:4" ht="15.75" customHeight="1" x14ac:dyDescent="0.25">
      <c r="D680" s="2"/>
    </row>
    <row r="681" spans="4:4" ht="15.75" customHeight="1" x14ac:dyDescent="0.25">
      <c r="D681" s="2"/>
    </row>
    <row r="682" spans="4:4" ht="15.75" customHeight="1" x14ac:dyDescent="0.25">
      <c r="D682" s="2"/>
    </row>
    <row r="683" spans="4:4" ht="15.75" customHeight="1" x14ac:dyDescent="0.25">
      <c r="D683" s="2"/>
    </row>
    <row r="684" spans="4:4" ht="15.75" customHeight="1" x14ac:dyDescent="0.25">
      <c r="D684" s="2"/>
    </row>
    <row r="685" spans="4:4" ht="15.75" customHeight="1" x14ac:dyDescent="0.25">
      <c r="D685" s="2"/>
    </row>
    <row r="686" spans="4:4" ht="15.75" customHeight="1" x14ac:dyDescent="0.25">
      <c r="D686" s="2"/>
    </row>
    <row r="687" spans="4:4" ht="15.75" customHeight="1" x14ac:dyDescent="0.25">
      <c r="D687" s="2"/>
    </row>
    <row r="688" spans="4:4" ht="15.75" customHeight="1" x14ac:dyDescent="0.25">
      <c r="D688" s="2"/>
    </row>
    <row r="689" spans="4:4" ht="15.75" customHeight="1" x14ac:dyDescent="0.25">
      <c r="D689" s="2"/>
    </row>
    <row r="690" spans="4:4" ht="15.75" customHeight="1" x14ac:dyDescent="0.25">
      <c r="D690" s="2"/>
    </row>
    <row r="691" spans="4:4" ht="15.75" customHeight="1" x14ac:dyDescent="0.25">
      <c r="D691" s="2"/>
    </row>
    <row r="692" spans="4:4" ht="15.75" customHeight="1" x14ac:dyDescent="0.25">
      <c r="D692" s="2"/>
    </row>
    <row r="693" spans="4:4" ht="15.75" customHeight="1" x14ac:dyDescent="0.25">
      <c r="D693" s="2"/>
    </row>
    <row r="694" spans="4:4" ht="15.75" customHeight="1" x14ac:dyDescent="0.25">
      <c r="D694" s="2"/>
    </row>
    <row r="695" spans="4:4" ht="15.75" customHeight="1" x14ac:dyDescent="0.25">
      <c r="D695" s="2"/>
    </row>
    <row r="696" spans="4:4" ht="15.75" customHeight="1" x14ac:dyDescent="0.25">
      <c r="D696" s="2"/>
    </row>
    <row r="697" spans="4:4" ht="15.75" customHeight="1" x14ac:dyDescent="0.25">
      <c r="D697" s="2"/>
    </row>
    <row r="698" spans="4:4" ht="15.75" customHeight="1" x14ac:dyDescent="0.25">
      <c r="D698" s="2"/>
    </row>
    <row r="699" spans="4:4" ht="15.75" customHeight="1" x14ac:dyDescent="0.25">
      <c r="D699" s="2"/>
    </row>
    <row r="700" spans="4:4" ht="15.75" customHeight="1" x14ac:dyDescent="0.25">
      <c r="D700" s="2"/>
    </row>
    <row r="701" spans="4:4" ht="15.75" customHeight="1" x14ac:dyDescent="0.25">
      <c r="D701" s="2"/>
    </row>
    <row r="702" spans="4:4" ht="15.75" customHeight="1" x14ac:dyDescent="0.25">
      <c r="D702" s="2"/>
    </row>
    <row r="703" spans="4:4" ht="15.75" customHeight="1" x14ac:dyDescent="0.25">
      <c r="D703" s="2"/>
    </row>
    <row r="704" spans="4:4" ht="15.75" customHeight="1" x14ac:dyDescent="0.25">
      <c r="D704" s="2"/>
    </row>
    <row r="705" spans="4:4" ht="15.75" customHeight="1" x14ac:dyDescent="0.25">
      <c r="D705" s="2"/>
    </row>
    <row r="706" spans="4:4" ht="15.75" customHeight="1" x14ac:dyDescent="0.25">
      <c r="D706" s="2"/>
    </row>
    <row r="707" spans="4:4" ht="15.75" customHeight="1" x14ac:dyDescent="0.25">
      <c r="D707" s="2"/>
    </row>
    <row r="708" spans="4:4" ht="15.75" customHeight="1" x14ac:dyDescent="0.25">
      <c r="D708" s="2"/>
    </row>
    <row r="709" spans="4:4" ht="15.75" customHeight="1" x14ac:dyDescent="0.25">
      <c r="D709" s="2"/>
    </row>
    <row r="710" spans="4:4" ht="15.75" customHeight="1" x14ac:dyDescent="0.25">
      <c r="D710" s="2"/>
    </row>
    <row r="711" spans="4:4" ht="15.75" customHeight="1" x14ac:dyDescent="0.25">
      <c r="D711" s="2"/>
    </row>
    <row r="712" spans="4:4" ht="15.75" customHeight="1" x14ac:dyDescent="0.25">
      <c r="D712" s="2"/>
    </row>
    <row r="713" spans="4:4" ht="15.75" customHeight="1" x14ac:dyDescent="0.25">
      <c r="D713" s="2"/>
    </row>
    <row r="714" spans="4:4" ht="15.75" customHeight="1" x14ac:dyDescent="0.25">
      <c r="D714" s="2"/>
    </row>
    <row r="715" spans="4:4" ht="15.75" customHeight="1" x14ac:dyDescent="0.25">
      <c r="D715" s="2"/>
    </row>
    <row r="716" spans="4:4" ht="15.75" customHeight="1" x14ac:dyDescent="0.25">
      <c r="D716" s="2"/>
    </row>
    <row r="717" spans="4:4" ht="15.75" customHeight="1" x14ac:dyDescent="0.25">
      <c r="D717" s="2"/>
    </row>
    <row r="718" spans="4:4" ht="15.75" customHeight="1" x14ac:dyDescent="0.25">
      <c r="D718" s="2"/>
    </row>
    <row r="719" spans="4:4" ht="15.75" customHeight="1" x14ac:dyDescent="0.25">
      <c r="D719" s="2"/>
    </row>
    <row r="720" spans="4:4" ht="15.75" customHeight="1" x14ac:dyDescent="0.25">
      <c r="D720" s="2"/>
    </row>
    <row r="721" spans="4:4" ht="15.75" customHeight="1" x14ac:dyDescent="0.25">
      <c r="D721" s="2"/>
    </row>
    <row r="722" spans="4:4" ht="15.75" customHeight="1" x14ac:dyDescent="0.25">
      <c r="D722" s="2"/>
    </row>
    <row r="723" spans="4:4" ht="15.75" customHeight="1" x14ac:dyDescent="0.25">
      <c r="D723" s="2"/>
    </row>
    <row r="724" spans="4:4" ht="15.75" customHeight="1" x14ac:dyDescent="0.25">
      <c r="D724" s="2"/>
    </row>
    <row r="725" spans="4:4" ht="15.75" customHeight="1" x14ac:dyDescent="0.25">
      <c r="D725" s="2"/>
    </row>
    <row r="726" spans="4:4" ht="15.75" customHeight="1" x14ac:dyDescent="0.25">
      <c r="D726" s="2"/>
    </row>
    <row r="727" spans="4:4" ht="15.75" customHeight="1" x14ac:dyDescent="0.25">
      <c r="D727" s="2"/>
    </row>
    <row r="728" spans="4:4" ht="15.75" customHeight="1" x14ac:dyDescent="0.25">
      <c r="D728" s="2"/>
    </row>
    <row r="729" spans="4:4" ht="15.75" customHeight="1" x14ac:dyDescent="0.25">
      <c r="D729" s="2"/>
    </row>
    <row r="730" spans="4:4" ht="15.75" customHeight="1" x14ac:dyDescent="0.25">
      <c r="D730" s="2"/>
    </row>
    <row r="731" spans="4:4" ht="15.75" customHeight="1" x14ac:dyDescent="0.25">
      <c r="D731" s="2"/>
    </row>
    <row r="732" spans="4:4" ht="15.75" customHeight="1" x14ac:dyDescent="0.25">
      <c r="D732" s="2"/>
    </row>
    <row r="733" spans="4:4" ht="15.75" customHeight="1" x14ac:dyDescent="0.25">
      <c r="D733" s="2"/>
    </row>
    <row r="734" spans="4:4" ht="15.75" customHeight="1" x14ac:dyDescent="0.25">
      <c r="D734" s="2"/>
    </row>
    <row r="735" spans="4:4" ht="15.75" customHeight="1" x14ac:dyDescent="0.25">
      <c r="D735" s="2"/>
    </row>
    <row r="736" spans="4:4" ht="15.75" customHeight="1" x14ac:dyDescent="0.25">
      <c r="D736" s="2"/>
    </row>
    <row r="737" spans="4:4" ht="15.75" customHeight="1" x14ac:dyDescent="0.25">
      <c r="D737" s="2"/>
    </row>
    <row r="738" spans="4:4" ht="15.75" customHeight="1" x14ac:dyDescent="0.25">
      <c r="D738" s="2"/>
    </row>
    <row r="739" spans="4:4" ht="15.75" customHeight="1" x14ac:dyDescent="0.25">
      <c r="D739" s="2"/>
    </row>
    <row r="740" spans="4:4" ht="15.75" customHeight="1" x14ac:dyDescent="0.25">
      <c r="D740" s="2"/>
    </row>
    <row r="741" spans="4:4" ht="15.75" customHeight="1" x14ac:dyDescent="0.25">
      <c r="D741" s="2"/>
    </row>
    <row r="742" spans="4:4" ht="15.75" customHeight="1" x14ac:dyDescent="0.25">
      <c r="D742" s="2"/>
    </row>
    <row r="743" spans="4:4" ht="15.75" customHeight="1" x14ac:dyDescent="0.25">
      <c r="D743" s="2"/>
    </row>
    <row r="744" spans="4:4" ht="15.75" customHeight="1" x14ac:dyDescent="0.25">
      <c r="D744" s="2"/>
    </row>
    <row r="745" spans="4:4" ht="15.75" customHeight="1" x14ac:dyDescent="0.25">
      <c r="D745" s="2"/>
    </row>
    <row r="746" spans="4:4" ht="15.75" customHeight="1" x14ac:dyDescent="0.25">
      <c r="D746" s="2"/>
    </row>
    <row r="747" spans="4:4" ht="15.75" customHeight="1" x14ac:dyDescent="0.25">
      <c r="D747" s="2"/>
    </row>
    <row r="748" spans="4:4" ht="15.75" customHeight="1" x14ac:dyDescent="0.25">
      <c r="D748" s="2"/>
    </row>
    <row r="749" spans="4:4" ht="15.75" customHeight="1" x14ac:dyDescent="0.25">
      <c r="D749" s="2"/>
    </row>
    <row r="750" spans="4:4" ht="15.75" customHeight="1" x14ac:dyDescent="0.25">
      <c r="D750" s="2"/>
    </row>
    <row r="751" spans="4:4" ht="15.75" customHeight="1" x14ac:dyDescent="0.25">
      <c r="D751" s="2"/>
    </row>
    <row r="752" spans="4:4" ht="15.75" customHeight="1" x14ac:dyDescent="0.25">
      <c r="D752" s="2"/>
    </row>
    <row r="753" spans="4:4" ht="15.75" customHeight="1" x14ac:dyDescent="0.25">
      <c r="D753" s="2"/>
    </row>
    <row r="754" spans="4:4" ht="15.75" customHeight="1" x14ac:dyDescent="0.25">
      <c r="D754" s="2"/>
    </row>
    <row r="755" spans="4:4" ht="15.75" customHeight="1" x14ac:dyDescent="0.25">
      <c r="D755" s="2"/>
    </row>
    <row r="756" spans="4:4" ht="15.75" customHeight="1" x14ac:dyDescent="0.25">
      <c r="D756" s="2"/>
    </row>
    <row r="757" spans="4:4" ht="15.75" customHeight="1" x14ac:dyDescent="0.25">
      <c r="D757" s="2"/>
    </row>
    <row r="758" spans="4:4" ht="15.75" customHeight="1" x14ac:dyDescent="0.25">
      <c r="D758" s="2"/>
    </row>
    <row r="759" spans="4:4" ht="15.75" customHeight="1" x14ac:dyDescent="0.25">
      <c r="D759" s="2"/>
    </row>
    <row r="760" spans="4:4" ht="15.75" customHeight="1" x14ac:dyDescent="0.25">
      <c r="D760" s="2"/>
    </row>
    <row r="761" spans="4:4" ht="15.75" customHeight="1" x14ac:dyDescent="0.25">
      <c r="D761" s="2"/>
    </row>
    <row r="762" spans="4:4" ht="15.75" customHeight="1" x14ac:dyDescent="0.25">
      <c r="D762" s="2"/>
    </row>
    <row r="763" spans="4:4" ht="15.75" customHeight="1" x14ac:dyDescent="0.25">
      <c r="D763" s="2"/>
    </row>
    <row r="764" spans="4:4" ht="15.75" customHeight="1" x14ac:dyDescent="0.25">
      <c r="D764" s="2"/>
    </row>
    <row r="765" spans="4:4" ht="15.75" customHeight="1" x14ac:dyDescent="0.25">
      <c r="D765" s="2"/>
    </row>
    <row r="766" spans="4:4" ht="15.75" customHeight="1" x14ac:dyDescent="0.25">
      <c r="D766" s="2"/>
    </row>
    <row r="767" spans="4:4" ht="15.75" customHeight="1" x14ac:dyDescent="0.25">
      <c r="D767" s="2"/>
    </row>
    <row r="768" spans="4:4" ht="15.75" customHeight="1" x14ac:dyDescent="0.25">
      <c r="D768" s="2"/>
    </row>
    <row r="769" spans="4:4" ht="15.75" customHeight="1" x14ac:dyDescent="0.25">
      <c r="D769" s="2"/>
    </row>
    <row r="770" spans="4:4" ht="15.75" customHeight="1" x14ac:dyDescent="0.25">
      <c r="D770" s="2"/>
    </row>
    <row r="771" spans="4:4" ht="15.75" customHeight="1" x14ac:dyDescent="0.25">
      <c r="D771" s="2"/>
    </row>
    <row r="772" spans="4:4" ht="15.75" customHeight="1" x14ac:dyDescent="0.25">
      <c r="D772" s="2"/>
    </row>
    <row r="773" spans="4:4" ht="15.75" customHeight="1" x14ac:dyDescent="0.25">
      <c r="D773" s="2"/>
    </row>
    <row r="774" spans="4:4" ht="15.75" customHeight="1" x14ac:dyDescent="0.25">
      <c r="D774" s="2"/>
    </row>
    <row r="775" spans="4:4" ht="15.75" customHeight="1" x14ac:dyDescent="0.25">
      <c r="D775" s="2"/>
    </row>
    <row r="776" spans="4:4" ht="15.75" customHeight="1" x14ac:dyDescent="0.25">
      <c r="D776" s="2"/>
    </row>
    <row r="777" spans="4:4" ht="15.75" customHeight="1" x14ac:dyDescent="0.25">
      <c r="D777" s="2"/>
    </row>
    <row r="778" spans="4:4" ht="15.75" customHeight="1" x14ac:dyDescent="0.25">
      <c r="D778" s="2"/>
    </row>
    <row r="779" spans="4:4" ht="15.75" customHeight="1" x14ac:dyDescent="0.25">
      <c r="D779" s="2"/>
    </row>
    <row r="780" spans="4:4" ht="15.75" customHeight="1" x14ac:dyDescent="0.25">
      <c r="D780" s="2"/>
    </row>
    <row r="781" spans="4:4" ht="15.75" customHeight="1" x14ac:dyDescent="0.25">
      <c r="D781" s="2"/>
    </row>
    <row r="782" spans="4:4" ht="15.75" customHeight="1" x14ac:dyDescent="0.25">
      <c r="D782" s="2"/>
    </row>
    <row r="783" spans="4:4" ht="15.75" customHeight="1" x14ac:dyDescent="0.25">
      <c r="D783" s="2"/>
    </row>
    <row r="784" spans="4:4" ht="15.75" customHeight="1" x14ac:dyDescent="0.25">
      <c r="D784" s="2"/>
    </row>
    <row r="785" spans="4:4" ht="15.75" customHeight="1" x14ac:dyDescent="0.25">
      <c r="D785" s="2"/>
    </row>
    <row r="786" spans="4:4" ht="15.75" customHeight="1" x14ac:dyDescent="0.25">
      <c r="D786" s="2"/>
    </row>
    <row r="787" spans="4:4" ht="15.75" customHeight="1" x14ac:dyDescent="0.25">
      <c r="D787" s="2"/>
    </row>
    <row r="788" spans="4:4" ht="15.75" customHeight="1" x14ac:dyDescent="0.25">
      <c r="D788" s="2"/>
    </row>
    <row r="789" spans="4:4" ht="15.75" customHeight="1" x14ac:dyDescent="0.25">
      <c r="D789" s="2"/>
    </row>
    <row r="790" spans="4:4" ht="15.75" customHeight="1" x14ac:dyDescent="0.25">
      <c r="D790" s="2"/>
    </row>
    <row r="791" spans="4:4" ht="15.75" customHeight="1" x14ac:dyDescent="0.25">
      <c r="D791" s="2"/>
    </row>
    <row r="792" spans="4:4" ht="15.75" customHeight="1" x14ac:dyDescent="0.25">
      <c r="D792" s="2"/>
    </row>
    <row r="793" spans="4:4" ht="15.75" customHeight="1" x14ac:dyDescent="0.25">
      <c r="D793" s="2"/>
    </row>
    <row r="794" spans="4:4" ht="15.75" customHeight="1" x14ac:dyDescent="0.25">
      <c r="D794" s="2"/>
    </row>
    <row r="795" spans="4:4" ht="15.75" customHeight="1" x14ac:dyDescent="0.25">
      <c r="D795" s="2"/>
    </row>
    <row r="796" spans="4:4" ht="15.75" customHeight="1" x14ac:dyDescent="0.25">
      <c r="D796" s="2"/>
    </row>
    <row r="797" spans="4:4" ht="15.75" customHeight="1" x14ac:dyDescent="0.25">
      <c r="D797" s="2"/>
    </row>
    <row r="798" spans="4:4" ht="15.75" customHeight="1" x14ac:dyDescent="0.25">
      <c r="D798" s="2"/>
    </row>
    <row r="799" spans="4:4" ht="15.75" customHeight="1" x14ac:dyDescent="0.25">
      <c r="D799" s="2"/>
    </row>
    <row r="800" spans="4:4" ht="15.75" customHeight="1" x14ac:dyDescent="0.25">
      <c r="D800" s="2"/>
    </row>
    <row r="801" spans="4:4" ht="15.75" customHeight="1" x14ac:dyDescent="0.25">
      <c r="D801" s="2"/>
    </row>
    <row r="802" spans="4:4" ht="15.75" customHeight="1" x14ac:dyDescent="0.25">
      <c r="D802" s="2"/>
    </row>
    <row r="803" spans="4:4" ht="15.75" customHeight="1" x14ac:dyDescent="0.25">
      <c r="D803" s="2"/>
    </row>
    <row r="804" spans="4:4" ht="15.75" customHeight="1" x14ac:dyDescent="0.25">
      <c r="D804" s="2"/>
    </row>
    <row r="805" spans="4:4" ht="15.75" customHeight="1" x14ac:dyDescent="0.25">
      <c r="D805" s="2"/>
    </row>
    <row r="806" spans="4:4" ht="15.75" customHeight="1" x14ac:dyDescent="0.25">
      <c r="D806" s="2"/>
    </row>
    <row r="807" spans="4:4" ht="15.75" customHeight="1" x14ac:dyDescent="0.25">
      <c r="D807" s="2"/>
    </row>
    <row r="808" spans="4:4" ht="15.75" customHeight="1" x14ac:dyDescent="0.25">
      <c r="D808" s="2"/>
    </row>
    <row r="809" spans="4:4" ht="15.75" customHeight="1" x14ac:dyDescent="0.25">
      <c r="D809" s="2"/>
    </row>
    <row r="810" spans="4:4" ht="15.75" customHeight="1" x14ac:dyDescent="0.25">
      <c r="D810" s="2"/>
    </row>
    <row r="811" spans="4:4" ht="15.75" customHeight="1" x14ac:dyDescent="0.25">
      <c r="D811" s="2"/>
    </row>
    <row r="812" spans="4:4" ht="15.75" customHeight="1" x14ac:dyDescent="0.25">
      <c r="D812" s="2"/>
    </row>
    <row r="813" spans="4:4" ht="15.75" customHeight="1" x14ac:dyDescent="0.25">
      <c r="D813" s="2"/>
    </row>
    <row r="814" spans="4:4" ht="15.75" customHeight="1" x14ac:dyDescent="0.25">
      <c r="D814" s="2"/>
    </row>
    <row r="815" spans="4:4" ht="15.75" customHeight="1" x14ac:dyDescent="0.25">
      <c r="D815" s="2"/>
    </row>
    <row r="816" spans="4:4" ht="15.75" customHeight="1" x14ac:dyDescent="0.25">
      <c r="D816" s="2"/>
    </row>
    <row r="817" spans="4:4" ht="15.75" customHeight="1" x14ac:dyDescent="0.25">
      <c r="D817" s="2"/>
    </row>
    <row r="818" spans="4:4" ht="15.75" customHeight="1" x14ac:dyDescent="0.25">
      <c r="D818" s="2"/>
    </row>
    <row r="819" spans="4:4" ht="15.75" customHeight="1" x14ac:dyDescent="0.25">
      <c r="D819" s="2"/>
    </row>
    <row r="820" spans="4:4" ht="15.75" customHeight="1" x14ac:dyDescent="0.25">
      <c r="D820" s="2"/>
    </row>
    <row r="821" spans="4:4" ht="15.75" customHeight="1" x14ac:dyDescent="0.25">
      <c r="D821" s="2"/>
    </row>
    <row r="822" spans="4:4" ht="15.75" customHeight="1" x14ac:dyDescent="0.25">
      <c r="D822" s="2"/>
    </row>
    <row r="823" spans="4:4" ht="15.75" customHeight="1" x14ac:dyDescent="0.25">
      <c r="D823" s="2"/>
    </row>
    <row r="824" spans="4:4" ht="15.75" customHeight="1" x14ac:dyDescent="0.25">
      <c r="D824" s="2"/>
    </row>
    <row r="825" spans="4:4" ht="15.75" customHeight="1" x14ac:dyDescent="0.25">
      <c r="D825" s="2"/>
    </row>
    <row r="826" spans="4:4" ht="15.75" customHeight="1" x14ac:dyDescent="0.25">
      <c r="D826" s="2"/>
    </row>
    <row r="827" spans="4:4" ht="15.75" customHeight="1" x14ac:dyDescent="0.25">
      <c r="D827" s="2"/>
    </row>
    <row r="828" spans="4:4" ht="15.75" customHeight="1" x14ac:dyDescent="0.25">
      <c r="D828" s="2"/>
    </row>
    <row r="829" spans="4:4" ht="15.75" customHeight="1" x14ac:dyDescent="0.25">
      <c r="D829" s="2"/>
    </row>
    <row r="830" spans="4:4" ht="15.75" customHeight="1" x14ac:dyDescent="0.25">
      <c r="D830" s="2"/>
    </row>
    <row r="831" spans="4:4" ht="15.75" customHeight="1" x14ac:dyDescent="0.25">
      <c r="D831" s="2"/>
    </row>
    <row r="832" spans="4:4" ht="15.75" customHeight="1" x14ac:dyDescent="0.25">
      <c r="D832" s="2"/>
    </row>
    <row r="833" spans="4:4" ht="15.75" customHeight="1" x14ac:dyDescent="0.25">
      <c r="D833" s="2"/>
    </row>
    <row r="834" spans="4:4" ht="15.75" customHeight="1" x14ac:dyDescent="0.25">
      <c r="D834" s="2"/>
    </row>
    <row r="835" spans="4:4" ht="15.75" customHeight="1" x14ac:dyDescent="0.25">
      <c r="D835" s="2"/>
    </row>
    <row r="836" spans="4:4" ht="15.75" customHeight="1" x14ac:dyDescent="0.25">
      <c r="D836" s="2"/>
    </row>
    <row r="837" spans="4:4" ht="15.75" customHeight="1" x14ac:dyDescent="0.25">
      <c r="D837" s="2"/>
    </row>
    <row r="838" spans="4:4" ht="15.75" customHeight="1" x14ac:dyDescent="0.25">
      <c r="D838" s="2"/>
    </row>
    <row r="839" spans="4:4" ht="15.75" customHeight="1" x14ac:dyDescent="0.25">
      <c r="D839" s="2"/>
    </row>
    <row r="840" spans="4:4" ht="15.75" customHeight="1" x14ac:dyDescent="0.25">
      <c r="D840" s="2"/>
    </row>
    <row r="841" spans="4:4" ht="15.75" customHeight="1" x14ac:dyDescent="0.25">
      <c r="D841" s="2"/>
    </row>
    <row r="842" spans="4:4" ht="15.75" customHeight="1" x14ac:dyDescent="0.25">
      <c r="D842" s="2"/>
    </row>
    <row r="843" spans="4:4" ht="15.75" customHeight="1" x14ac:dyDescent="0.25">
      <c r="D843" s="2"/>
    </row>
    <row r="844" spans="4:4" ht="15.75" customHeight="1" x14ac:dyDescent="0.25">
      <c r="D844" s="2"/>
    </row>
    <row r="845" spans="4:4" ht="15.75" customHeight="1" x14ac:dyDescent="0.25">
      <c r="D845" s="2"/>
    </row>
    <row r="846" spans="4:4" ht="15.75" customHeight="1" x14ac:dyDescent="0.25">
      <c r="D846" s="2"/>
    </row>
    <row r="847" spans="4:4" ht="15.75" customHeight="1" x14ac:dyDescent="0.25">
      <c r="D847" s="2"/>
    </row>
    <row r="848" spans="4:4" ht="15.75" customHeight="1" x14ac:dyDescent="0.25">
      <c r="D848" s="2"/>
    </row>
    <row r="849" spans="4:4" ht="15.75" customHeight="1" x14ac:dyDescent="0.25">
      <c r="D849" s="2"/>
    </row>
    <row r="850" spans="4:4" ht="15.75" customHeight="1" x14ac:dyDescent="0.25">
      <c r="D850" s="2"/>
    </row>
    <row r="851" spans="4:4" ht="15.75" customHeight="1" x14ac:dyDescent="0.25">
      <c r="D851" s="2"/>
    </row>
    <row r="852" spans="4:4" ht="15.75" customHeight="1" x14ac:dyDescent="0.25">
      <c r="D852" s="2"/>
    </row>
    <row r="853" spans="4:4" ht="15.75" customHeight="1" x14ac:dyDescent="0.25">
      <c r="D853" s="2"/>
    </row>
    <row r="854" spans="4:4" ht="15.75" customHeight="1" x14ac:dyDescent="0.25">
      <c r="D854" s="2"/>
    </row>
    <row r="855" spans="4:4" ht="15.75" customHeight="1" x14ac:dyDescent="0.25">
      <c r="D855" s="2"/>
    </row>
    <row r="856" spans="4:4" ht="15.75" customHeight="1" x14ac:dyDescent="0.25">
      <c r="D856" s="2"/>
    </row>
    <row r="857" spans="4:4" ht="15.75" customHeight="1" x14ac:dyDescent="0.25">
      <c r="D857" s="2"/>
    </row>
    <row r="858" spans="4:4" ht="15.75" customHeight="1" x14ac:dyDescent="0.25">
      <c r="D858" s="2"/>
    </row>
    <row r="859" spans="4:4" ht="15.75" customHeight="1" x14ac:dyDescent="0.25">
      <c r="D859" s="2"/>
    </row>
    <row r="860" spans="4:4" ht="15.75" customHeight="1" x14ac:dyDescent="0.25">
      <c r="D860" s="2"/>
    </row>
    <row r="861" spans="4:4" ht="15.75" customHeight="1" x14ac:dyDescent="0.25">
      <c r="D861" s="2"/>
    </row>
    <row r="862" spans="4:4" ht="15.75" customHeight="1" x14ac:dyDescent="0.25">
      <c r="D862" s="2"/>
    </row>
    <row r="863" spans="4:4" ht="15.75" customHeight="1" x14ac:dyDescent="0.25">
      <c r="D863" s="2"/>
    </row>
    <row r="864" spans="4:4" ht="15.75" customHeight="1" x14ac:dyDescent="0.25">
      <c r="D864" s="2"/>
    </row>
    <row r="865" spans="4:4" ht="15.75" customHeight="1" x14ac:dyDescent="0.25">
      <c r="D865" s="2"/>
    </row>
    <row r="866" spans="4:4" ht="15.75" customHeight="1" x14ac:dyDescent="0.25">
      <c r="D866" s="2"/>
    </row>
    <row r="867" spans="4:4" ht="15.75" customHeight="1" x14ac:dyDescent="0.25">
      <c r="D867" s="2"/>
    </row>
    <row r="868" spans="4:4" ht="15.75" customHeight="1" x14ac:dyDescent="0.25">
      <c r="D868" s="2"/>
    </row>
    <row r="869" spans="4:4" ht="15.75" customHeight="1" x14ac:dyDescent="0.25">
      <c r="D869" s="2"/>
    </row>
    <row r="870" spans="4:4" ht="15.75" customHeight="1" x14ac:dyDescent="0.25">
      <c r="D870" s="2"/>
    </row>
    <row r="871" spans="4:4" ht="15.75" customHeight="1" x14ac:dyDescent="0.25">
      <c r="D871" s="2"/>
    </row>
    <row r="872" spans="4:4" ht="15.75" customHeight="1" x14ac:dyDescent="0.25">
      <c r="D872" s="2"/>
    </row>
    <row r="873" spans="4:4" ht="15.75" customHeight="1" x14ac:dyDescent="0.25">
      <c r="D873" s="2"/>
    </row>
    <row r="874" spans="4:4" ht="15.75" customHeight="1" x14ac:dyDescent="0.25">
      <c r="D874" s="2"/>
    </row>
    <row r="875" spans="4:4" ht="15.75" customHeight="1" x14ac:dyDescent="0.25">
      <c r="D875" s="2"/>
    </row>
    <row r="876" spans="4:4" ht="15.75" customHeight="1" x14ac:dyDescent="0.25">
      <c r="D876" s="2"/>
    </row>
    <row r="877" spans="4:4" ht="15.75" customHeight="1" x14ac:dyDescent="0.25">
      <c r="D877" s="2"/>
    </row>
    <row r="878" spans="4:4" ht="15.75" customHeight="1" x14ac:dyDescent="0.25">
      <c r="D878" s="2"/>
    </row>
    <row r="879" spans="4:4" ht="15.75" customHeight="1" x14ac:dyDescent="0.25">
      <c r="D879" s="2"/>
    </row>
    <row r="880" spans="4:4" ht="15.75" customHeight="1" x14ac:dyDescent="0.25">
      <c r="D880" s="2"/>
    </row>
    <row r="881" spans="4:4" ht="15.75" customHeight="1" x14ac:dyDescent="0.25">
      <c r="D881" s="2"/>
    </row>
    <row r="882" spans="4:4" ht="15.75" customHeight="1" x14ac:dyDescent="0.25">
      <c r="D882" s="2"/>
    </row>
    <row r="883" spans="4:4" ht="15.75" customHeight="1" x14ac:dyDescent="0.25">
      <c r="D883" s="2"/>
    </row>
    <row r="884" spans="4:4" ht="15.75" customHeight="1" x14ac:dyDescent="0.25">
      <c r="D884" s="2"/>
    </row>
    <row r="885" spans="4:4" ht="15.75" customHeight="1" x14ac:dyDescent="0.25">
      <c r="D885" s="2"/>
    </row>
    <row r="886" spans="4:4" ht="15.75" customHeight="1" x14ac:dyDescent="0.25">
      <c r="D886" s="2"/>
    </row>
    <row r="887" spans="4:4" ht="15.75" customHeight="1" x14ac:dyDescent="0.25">
      <c r="D887" s="2"/>
    </row>
    <row r="888" spans="4:4" ht="15.75" customHeight="1" x14ac:dyDescent="0.25">
      <c r="D888" s="2"/>
    </row>
    <row r="889" spans="4:4" ht="15.75" customHeight="1" x14ac:dyDescent="0.25">
      <c r="D889" s="2"/>
    </row>
    <row r="890" spans="4:4" ht="15.75" customHeight="1" x14ac:dyDescent="0.25">
      <c r="D890" s="2"/>
    </row>
    <row r="891" spans="4:4" ht="15.75" customHeight="1" x14ac:dyDescent="0.25">
      <c r="D891" s="2"/>
    </row>
    <row r="892" spans="4:4" ht="15.75" customHeight="1" x14ac:dyDescent="0.25">
      <c r="D892" s="2"/>
    </row>
    <row r="893" spans="4:4" ht="15.75" customHeight="1" x14ac:dyDescent="0.25">
      <c r="D893" s="2"/>
    </row>
    <row r="894" spans="4:4" ht="15.75" customHeight="1" x14ac:dyDescent="0.25">
      <c r="D894" s="2"/>
    </row>
    <row r="895" spans="4:4" ht="15.75" customHeight="1" x14ac:dyDescent="0.25">
      <c r="D895" s="2"/>
    </row>
    <row r="896" spans="4:4" ht="15.75" customHeight="1" x14ac:dyDescent="0.25">
      <c r="D896" s="2"/>
    </row>
    <row r="897" spans="4:4" ht="15.75" customHeight="1" x14ac:dyDescent="0.25">
      <c r="D897" s="2"/>
    </row>
    <row r="898" spans="4:4" ht="15.75" customHeight="1" x14ac:dyDescent="0.25">
      <c r="D898" s="2"/>
    </row>
    <row r="899" spans="4:4" ht="15.75" customHeight="1" x14ac:dyDescent="0.25">
      <c r="D899" s="2"/>
    </row>
    <row r="900" spans="4:4" ht="15.75" customHeight="1" x14ac:dyDescent="0.25">
      <c r="D900" s="2"/>
    </row>
    <row r="901" spans="4:4" ht="15.75" customHeight="1" x14ac:dyDescent="0.25">
      <c r="D901" s="2"/>
    </row>
    <row r="902" spans="4:4" ht="15.75" customHeight="1" x14ac:dyDescent="0.25">
      <c r="D902" s="2"/>
    </row>
    <row r="903" spans="4:4" ht="15.75" customHeight="1" x14ac:dyDescent="0.25">
      <c r="D903" s="2"/>
    </row>
    <row r="904" spans="4:4" ht="15.75" customHeight="1" x14ac:dyDescent="0.25">
      <c r="D904" s="2"/>
    </row>
    <row r="905" spans="4:4" ht="15.75" customHeight="1" x14ac:dyDescent="0.25">
      <c r="D905" s="2"/>
    </row>
    <row r="906" spans="4:4" ht="15.75" customHeight="1" x14ac:dyDescent="0.25">
      <c r="D906" s="2"/>
    </row>
    <row r="907" spans="4:4" ht="15.75" customHeight="1" x14ac:dyDescent="0.25">
      <c r="D907" s="2"/>
    </row>
    <row r="908" spans="4:4" ht="15.75" customHeight="1" x14ac:dyDescent="0.25">
      <c r="D908" s="2"/>
    </row>
    <row r="909" spans="4:4" ht="15.75" customHeight="1" x14ac:dyDescent="0.25">
      <c r="D909" s="2"/>
    </row>
    <row r="910" spans="4:4" ht="15.75" customHeight="1" x14ac:dyDescent="0.25">
      <c r="D910" s="2"/>
    </row>
    <row r="911" spans="4:4" ht="15.75" customHeight="1" x14ac:dyDescent="0.25">
      <c r="D911" s="2"/>
    </row>
    <row r="912" spans="4:4" ht="15.75" customHeight="1" x14ac:dyDescent="0.25">
      <c r="D912" s="2"/>
    </row>
    <row r="913" spans="4:4" ht="15.75" customHeight="1" x14ac:dyDescent="0.25">
      <c r="D913" s="2"/>
    </row>
    <row r="914" spans="4:4" ht="15.75" customHeight="1" x14ac:dyDescent="0.25">
      <c r="D914" s="2"/>
    </row>
    <row r="915" spans="4:4" ht="15.75" customHeight="1" x14ac:dyDescent="0.25">
      <c r="D915" s="2"/>
    </row>
    <row r="916" spans="4:4" ht="15.75" customHeight="1" x14ac:dyDescent="0.25">
      <c r="D916" s="2"/>
    </row>
    <row r="917" spans="4:4" ht="15.75" customHeight="1" x14ac:dyDescent="0.25">
      <c r="D917" s="2"/>
    </row>
    <row r="918" spans="4:4" ht="15.75" customHeight="1" x14ac:dyDescent="0.25">
      <c r="D918" s="2"/>
    </row>
    <row r="919" spans="4:4" ht="15.75" customHeight="1" x14ac:dyDescent="0.25">
      <c r="D919" s="2"/>
    </row>
    <row r="920" spans="4:4" ht="15.75" customHeight="1" x14ac:dyDescent="0.25">
      <c r="D920" s="2"/>
    </row>
    <row r="921" spans="4:4" ht="15.75" customHeight="1" x14ac:dyDescent="0.25">
      <c r="D921" s="2"/>
    </row>
    <row r="922" spans="4:4" ht="15.75" customHeight="1" x14ac:dyDescent="0.25">
      <c r="D922" s="2"/>
    </row>
    <row r="923" spans="4:4" ht="15.75" customHeight="1" x14ac:dyDescent="0.25">
      <c r="D923" s="2"/>
    </row>
    <row r="924" spans="4:4" ht="15.75" customHeight="1" x14ac:dyDescent="0.25">
      <c r="D924" s="2"/>
    </row>
    <row r="925" spans="4:4" ht="15.75" customHeight="1" x14ac:dyDescent="0.25">
      <c r="D925" s="2"/>
    </row>
    <row r="926" spans="4:4" ht="15.75" customHeight="1" x14ac:dyDescent="0.25">
      <c r="D926" s="2"/>
    </row>
    <row r="927" spans="4:4" ht="15.75" customHeight="1" x14ac:dyDescent="0.25">
      <c r="D927" s="2"/>
    </row>
    <row r="928" spans="4:4" ht="15.75" customHeight="1" x14ac:dyDescent="0.25">
      <c r="D928" s="2"/>
    </row>
    <row r="929" spans="4:4" ht="15.75" customHeight="1" x14ac:dyDescent="0.25">
      <c r="D929" s="2"/>
    </row>
    <row r="930" spans="4:4" ht="15.75" customHeight="1" x14ac:dyDescent="0.25">
      <c r="D930" s="2"/>
    </row>
    <row r="931" spans="4:4" ht="15.75" customHeight="1" x14ac:dyDescent="0.25">
      <c r="D931" s="2"/>
    </row>
    <row r="932" spans="4:4" ht="15.75" customHeight="1" x14ac:dyDescent="0.25">
      <c r="D932" s="2"/>
    </row>
    <row r="933" spans="4:4" ht="15.75" customHeight="1" x14ac:dyDescent="0.25">
      <c r="D933" s="2"/>
    </row>
    <row r="934" spans="4:4" ht="15.75" customHeight="1" x14ac:dyDescent="0.25">
      <c r="D934" s="2"/>
    </row>
    <row r="935" spans="4:4" ht="15.75" customHeight="1" x14ac:dyDescent="0.25">
      <c r="D935" s="2"/>
    </row>
    <row r="936" spans="4:4" ht="15.75" customHeight="1" x14ac:dyDescent="0.25">
      <c r="D936" s="2"/>
    </row>
    <row r="937" spans="4:4" ht="15.75" customHeight="1" x14ac:dyDescent="0.25">
      <c r="D937" s="2"/>
    </row>
    <row r="938" spans="4:4" ht="15.75" customHeight="1" x14ac:dyDescent="0.25">
      <c r="D938" s="2"/>
    </row>
    <row r="939" spans="4:4" ht="15.75" customHeight="1" x14ac:dyDescent="0.25">
      <c r="D939" s="2"/>
    </row>
    <row r="940" spans="4:4" ht="15.75" customHeight="1" x14ac:dyDescent="0.25">
      <c r="D940" s="2"/>
    </row>
    <row r="941" spans="4:4" ht="15.75" customHeight="1" x14ac:dyDescent="0.25">
      <c r="D941" s="2"/>
    </row>
    <row r="942" spans="4:4" ht="15.75" customHeight="1" x14ac:dyDescent="0.25">
      <c r="D942" s="2"/>
    </row>
    <row r="943" spans="4:4" ht="15.75" customHeight="1" x14ac:dyDescent="0.25">
      <c r="D943" s="2"/>
    </row>
    <row r="944" spans="4:4" ht="15.75" customHeight="1" x14ac:dyDescent="0.25">
      <c r="D944" s="2"/>
    </row>
    <row r="945" spans="4:4" ht="15.75" customHeight="1" x14ac:dyDescent="0.25">
      <c r="D945" s="2"/>
    </row>
    <row r="946" spans="4:4" ht="15.75" customHeight="1" x14ac:dyDescent="0.25">
      <c r="D946" s="2"/>
    </row>
    <row r="947" spans="4:4" ht="15.75" customHeight="1" x14ac:dyDescent="0.25">
      <c r="D947" s="2"/>
    </row>
    <row r="948" spans="4:4" ht="15.75" customHeight="1" x14ac:dyDescent="0.25">
      <c r="D948" s="2"/>
    </row>
    <row r="949" spans="4:4" ht="15.75" customHeight="1" x14ac:dyDescent="0.25">
      <c r="D949" s="2"/>
    </row>
    <row r="950" spans="4:4" ht="15.75" customHeight="1" x14ac:dyDescent="0.25">
      <c r="D950" s="2"/>
    </row>
    <row r="951" spans="4:4" ht="15.75" customHeight="1" x14ac:dyDescent="0.25">
      <c r="D951" s="2"/>
    </row>
    <row r="952" spans="4:4" ht="15.75" customHeight="1" x14ac:dyDescent="0.25">
      <c r="D952" s="2"/>
    </row>
    <row r="953" spans="4:4" ht="15.75" customHeight="1" x14ac:dyDescent="0.25">
      <c r="D953" s="2"/>
    </row>
    <row r="954" spans="4:4" ht="15.75" customHeight="1" x14ac:dyDescent="0.25">
      <c r="D954" s="2"/>
    </row>
    <row r="955" spans="4:4" ht="15.75" customHeight="1" x14ac:dyDescent="0.25">
      <c r="D955" s="2"/>
    </row>
    <row r="956" spans="4:4" ht="15.75" customHeight="1" x14ac:dyDescent="0.25">
      <c r="D956" s="2"/>
    </row>
    <row r="957" spans="4:4" ht="15.75" customHeight="1" x14ac:dyDescent="0.25">
      <c r="D957" s="2"/>
    </row>
    <row r="958" spans="4:4" ht="15.75" customHeight="1" x14ac:dyDescent="0.25">
      <c r="D958" s="2"/>
    </row>
    <row r="959" spans="4:4" ht="15.75" customHeight="1" x14ac:dyDescent="0.25">
      <c r="D959" s="2"/>
    </row>
    <row r="960" spans="4:4" ht="15.75" customHeight="1" x14ac:dyDescent="0.25">
      <c r="D960" s="2"/>
    </row>
    <row r="961" spans="4:4" ht="15.75" customHeight="1" x14ac:dyDescent="0.25">
      <c r="D961" s="2"/>
    </row>
    <row r="962" spans="4:4" ht="15.75" customHeight="1" x14ac:dyDescent="0.25">
      <c r="D962" s="2"/>
    </row>
    <row r="963" spans="4:4" ht="15.75" customHeight="1" x14ac:dyDescent="0.25">
      <c r="D963" s="2"/>
    </row>
    <row r="964" spans="4:4" ht="15.75" customHeight="1" x14ac:dyDescent="0.25">
      <c r="D964" s="2"/>
    </row>
    <row r="965" spans="4:4" ht="15.75" customHeight="1" x14ac:dyDescent="0.25">
      <c r="D965" s="2"/>
    </row>
    <row r="966" spans="4:4" ht="15.75" customHeight="1" x14ac:dyDescent="0.25">
      <c r="D966" s="2"/>
    </row>
    <row r="967" spans="4:4" ht="15.75" customHeight="1" x14ac:dyDescent="0.25">
      <c r="D967" s="2"/>
    </row>
    <row r="968" spans="4:4" ht="15.75" customHeight="1" x14ac:dyDescent="0.25">
      <c r="D968" s="2"/>
    </row>
    <row r="969" spans="4:4" ht="15.75" customHeight="1" x14ac:dyDescent="0.25">
      <c r="D969" s="2"/>
    </row>
    <row r="970" spans="4:4" ht="15.75" customHeight="1" x14ac:dyDescent="0.25">
      <c r="D970" s="2"/>
    </row>
    <row r="971" spans="4:4" ht="15.75" customHeight="1" x14ac:dyDescent="0.25">
      <c r="D971" s="2"/>
    </row>
    <row r="972" spans="4:4" ht="15.75" customHeight="1" x14ac:dyDescent="0.25">
      <c r="D972" s="2"/>
    </row>
    <row r="973" spans="4:4" ht="15.75" customHeight="1" x14ac:dyDescent="0.25">
      <c r="D973" s="2"/>
    </row>
    <row r="974" spans="4:4" ht="15.75" customHeight="1" x14ac:dyDescent="0.25">
      <c r="D974" s="2"/>
    </row>
    <row r="975" spans="4:4" ht="15.75" customHeight="1" x14ac:dyDescent="0.25">
      <c r="D975" s="2"/>
    </row>
    <row r="976" spans="4:4" ht="15.75" customHeight="1" x14ac:dyDescent="0.25">
      <c r="D976" s="2"/>
    </row>
    <row r="977" spans="4:4" ht="15.75" customHeight="1" x14ac:dyDescent="0.25">
      <c r="D977" s="2"/>
    </row>
    <row r="978" spans="4:4" ht="15.75" customHeight="1" x14ac:dyDescent="0.25">
      <c r="D978" s="2"/>
    </row>
    <row r="979" spans="4:4" ht="15.75" customHeight="1" x14ac:dyDescent="0.25">
      <c r="D979" s="2"/>
    </row>
    <row r="980" spans="4:4" ht="15.75" customHeight="1" x14ac:dyDescent="0.25">
      <c r="D980" s="2"/>
    </row>
    <row r="981" spans="4:4" ht="15.75" customHeight="1" x14ac:dyDescent="0.25">
      <c r="D981" s="2"/>
    </row>
    <row r="982" spans="4:4" ht="15.75" customHeight="1" x14ac:dyDescent="0.25">
      <c r="D982" s="2"/>
    </row>
    <row r="983" spans="4:4" ht="15.75" customHeight="1" x14ac:dyDescent="0.25">
      <c r="D983" s="2"/>
    </row>
    <row r="984" spans="4:4" ht="15.75" customHeight="1" x14ac:dyDescent="0.25">
      <c r="D984" s="2"/>
    </row>
    <row r="985" spans="4:4" ht="15.75" customHeight="1" x14ac:dyDescent="0.25">
      <c r="D985" s="2"/>
    </row>
    <row r="986" spans="4:4" ht="15.75" customHeight="1" x14ac:dyDescent="0.25">
      <c r="D986" s="2"/>
    </row>
    <row r="987" spans="4:4" ht="15.75" customHeight="1" x14ac:dyDescent="0.25">
      <c r="D987" s="2"/>
    </row>
    <row r="988" spans="4:4" ht="15.75" customHeight="1" x14ac:dyDescent="0.25">
      <c r="D988" s="2"/>
    </row>
    <row r="989" spans="4:4" ht="15.75" customHeight="1" x14ac:dyDescent="0.25">
      <c r="D989" s="2"/>
    </row>
    <row r="990" spans="4:4" ht="15.75" customHeight="1" x14ac:dyDescent="0.25">
      <c r="D990" s="2"/>
    </row>
    <row r="991" spans="4:4" ht="15.75" customHeight="1" x14ac:dyDescent="0.25">
      <c r="D991" s="2"/>
    </row>
    <row r="992" spans="4:4" ht="15.75" customHeight="1" x14ac:dyDescent="0.25">
      <c r="D992" s="2"/>
    </row>
    <row r="993" spans="4:4" ht="15.75" customHeight="1" x14ac:dyDescent="0.25">
      <c r="D993" s="2"/>
    </row>
    <row r="994" spans="4:4" ht="15.75" customHeight="1" x14ac:dyDescent="0.25">
      <c r="D994" s="2"/>
    </row>
    <row r="995" spans="4:4" ht="15.75" customHeight="1" x14ac:dyDescent="0.25">
      <c r="D995" s="2"/>
    </row>
    <row r="996" spans="4:4" ht="15.75" customHeight="1" x14ac:dyDescent="0.25">
      <c r="D996" s="2"/>
    </row>
    <row r="997" spans="4:4" ht="15.75" customHeight="1" x14ac:dyDescent="0.25">
      <c r="D997" s="2"/>
    </row>
    <row r="998" spans="4:4" ht="15.75" customHeight="1" x14ac:dyDescent="0.25">
      <c r="D998" s="2"/>
    </row>
    <row r="999" spans="4:4" ht="15.75" customHeight="1" x14ac:dyDescent="0.25">
      <c r="D999" s="2"/>
    </row>
    <row r="1000" spans="4:4" ht="15.75" customHeight="1" x14ac:dyDescent="0.25">
      <c r="D1000" s="2"/>
    </row>
    <row r="1001" spans="4:4" ht="15.75" customHeight="1" x14ac:dyDescent="0.25">
      <c r="D1001" s="2"/>
    </row>
    <row r="1002" spans="4:4" ht="15.75" customHeight="1" x14ac:dyDescent="0.25">
      <c r="D1002" s="2"/>
    </row>
    <row r="1003" spans="4:4" ht="15.75" customHeight="1" x14ac:dyDescent="0.25">
      <c r="D1003" s="2"/>
    </row>
    <row r="1004" spans="4:4" ht="15.75" customHeight="1" x14ac:dyDescent="0.25">
      <c r="D1004" s="2"/>
    </row>
    <row r="1005" spans="4:4" ht="15.75" customHeight="1" x14ac:dyDescent="0.25">
      <c r="D1005" s="2"/>
    </row>
    <row r="1006" spans="4:4" ht="15.75" customHeight="1" x14ac:dyDescent="0.25">
      <c r="D1006" s="2"/>
    </row>
    <row r="1007" spans="4:4" ht="15.75" customHeight="1" x14ac:dyDescent="0.25">
      <c r="D1007" s="2"/>
    </row>
    <row r="1008" spans="4:4" ht="15.75" customHeight="1" x14ac:dyDescent="0.25">
      <c r="D1008" s="2"/>
    </row>
    <row r="1009" spans="4:4" ht="15.75" customHeight="1" x14ac:dyDescent="0.25">
      <c r="D1009" s="2"/>
    </row>
    <row r="1010" spans="4:4" ht="15.75" customHeight="1" x14ac:dyDescent="0.25">
      <c r="D1010" s="2"/>
    </row>
    <row r="1011" spans="4:4" ht="15.75" customHeight="1" x14ac:dyDescent="0.25">
      <c r="D1011" s="2"/>
    </row>
    <row r="1012" spans="4:4" ht="15.75" customHeight="1" x14ac:dyDescent="0.25">
      <c r="D1012" s="2"/>
    </row>
    <row r="1013" spans="4:4" ht="15.75" customHeight="1" x14ac:dyDescent="0.25">
      <c r="D1013" s="2"/>
    </row>
    <row r="1014" spans="4:4" ht="15.75" customHeight="1" x14ac:dyDescent="0.25">
      <c r="D1014" s="2"/>
    </row>
    <row r="1015" spans="4:4" ht="15.75" customHeight="1" x14ac:dyDescent="0.25">
      <c r="D1015" s="2"/>
    </row>
    <row r="1016" spans="4:4" ht="15.75" customHeight="1" x14ac:dyDescent="0.25">
      <c r="D1016" s="2"/>
    </row>
    <row r="1017" spans="4:4" ht="15.75" customHeight="1" x14ac:dyDescent="0.25">
      <c r="D1017" s="2"/>
    </row>
    <row r="1018" spans="4:4" ht="15.75" customHeight="1" x14ac:dyDescent="0.25">
      <c r="D1018" s="2"/>
    </row>
    <row r="1019" spans="4:4" ht="15.75" customHeight="1" x14ac:dyDescent="0.25">
      <c r="D1019" s="2"/>
    </row>
    <row r="1020" spans="4:4" ht="15.75" customHeight="1" x14ac:dyDescent="0.25">
      <c r="D1020" s="2"/>
    </row>
    <row r="1021" spans="4:4" ht="15.75" customHeight="1" x14ac:dyDescent="0.25">
      <c r="D1021" s="2"/>
    </row>
  </sheetData>
  <mergeCells count="118">
    <mergeCell ref="D99:E99"/>
    <mergeCell ref="D100:E100"/>
    <mergeCell ref="D101:E101"/>
    <mergeCell ref="D70:E70"/>
    <mergeCell ref="D71:E71"/>
    <mergeCell ref="D73:E73"/>
    <mergeCell ref="D67:E67"/>
    <mergeCell ref="D68:E68"/>
    <mergeCell ref="D69:E69"/>
    <mergeCell ref="D96:E96"/>
    <mergeCell ref="D75:E75"/>
    <mergeCell ref="D93:E93"/>
    <mergeCell ref="D94:E94"/>
    <mergeCell ref="D88:E88"/>
    <mergeCell ref="D89:E89"/>
    <mergeCell ref="D91:E91"/>
    <mergeCell ref="D85:E85"/>
    <mergeCell ref="D86:E86"/>
    <mergeCell ref="D87:E87"/>
    <mergeCell ref="D76:E76"/>
    <mergeCell ref="D92:E92"/>
    <mergeCell ref="D112:E112"/>
    <mergeCell ref="D113:E113"/>
    <mergeCell ref="D103:E103"/>
    <mergeCell ref="D104:E104"/>
    <mergeCell ref="D105:E105"/>
    <mergeCell ref="D106:E106"/>
    <mergeCell ref="D107:E107"/>
    <mergeCell ref="D108:E108"/>
    <mergeCell ref="D109:E109"/>
    <mergeCell ref="D110:E110"/>
    <mergeCell ref="D111:E111"/>
    <mergeCell ref="D9:E9"/>
    <mergeCell ref="D18:E18"/>
    <mergeCell ref="D95:E95"/>
    <mergeCell ref="D82:E82"/>
    <mergeCell ref="D83:E83"/>
    <mergeCell ref="D98:E98"/>
    <mergeCell ref="D62:E62"/>
    <mergeCell ref="D64:E64"/>
    <mergeCell ref="D65:E65"/>
    <mergeCell ref="D49:E49"/>
    <mergeCell ref="D50:E50"/>
    <mergeCell ref="D51:E51"/>
    <mergeCell ref="D52:E52"/>
    <mergeCell ref="D53:E53"/>
    <mergeCell ref="D55:E55"/>
    <mergeCell ref="D56:E56"/>
    <mergeCell ref="D79:E79"/>
    <mergeCell ref="D74:E74"/>
    <mergeCell ref="D61:E61"/>
    <mergeCell ref="D66:E66"/>
    <mergeCell ref="D57:E57"/>
    <mergeCell ref="D58:E58"/>
    <mergeCell ref="D59:E59"/>
    <mergeCell ref="D60:E60"/>
    <mergeCell ref="D41:E41"/>
    <mergeCell ref="D42:E42"/>
    <mergeCell ref="D43:E43"/>
    <mergeCell ref="D27:E27"/>
    <mergeCell ref="D45:E45"/>
    <mergeCell ref="D63:E63"/>
    <mergeCell ref="D81:E81"/>
    <mergeCell ref="D97:E97"/>
    <mergeCell ref="D44:E44"/>
    <mergeCell ref="D46:E46"/>
    <mergeCell ref="D47:E47"/>
    <mergeCell ref="D38:E38"/>
    <mergeCell ref="D39:E39"/>
    <mergeCell ref="D40:E40"/>
    <mergeCell ref="D84:E84"/>
    <mergeCell ref="D34:E34"/>
    <mergeCell ref="D35:E35"/>
    <mergeCell ref="D37:E37"/>
    <mergeCell ref="D31:E31"/>
    <mergeCell ref="D32:E32"/>
    <mergeCell ref="D80:E80"/>
    <mergeCell ref="D77:E77"/>
    <mergeCell ref="D78:E78"/>
    <mergeCell ref="D33:E33"/>
    <mergeCell ref="D28:E28"/>
    <mergeCell ref="D29:E29"/>
    <mergeCell ref="D20:E20"/>
    <mergeCell ref="D21:E21"/>
    <mergeCell ref="D22:E22"/>
    <mergeCell ref="D23:E23"/>
    <mergeCell ref="D11:E11"/>
    <mergeCell ref="D13:E13"/>
    <mergeCell ref="D14:E14"/>
    <mergeCell ref="D15:E15"/>
    <mergeCell ref="D16:E16"/>
    <mergeCell ref="D17:E17"/>
    <mergeCell ref="D24:E24"/>
    <mergeCell ref="D25:E25"/>
    <mergeCell ref="D36:E36"/>
    <mergeCell ref="D54:E54"/>
    <mergeCell ref="D72:E72"/>
    <mergeCell ref="D90:E90"/>
    <mergeCell ref="D8:E8"/>
    <mergeCell ref="D102:E102"/>
    <mergeCell ref="P3:Q3"/>
    <mergeCell ref="B3:C3"/>
    <mergeCell ref="D3:E3"/>
    <mergeCell ref="D10:E10"/>
    <mergeCell ref="D12:E12"/>
    <mergeCell ref="D30:E30"/>
    <mergeCell ref="D48:E48"/>
    <mergeCell ref="D4:E4"/>
    <mergeCell ref="D5:E5"/>
    <mergeCell ref="D7:E7"/>
    <mergeCell ref="D6:E6"/>
    <mergeCell ref="F3:G3"/>
    <mergeCell ref="H3:I3"/>
    <mergeCell ref="J3:K3"/>
    <mergeCell ref="L3:M3"/>
    <mergeCell ref="N3:O3"/>
    <mergeCell ref="D19:E19"/>
    <mergeCell ref="D26:E26"/>
  </mergeCells>
  <pageMargins left="0.51181102362204722" right="0.51181102362204722" top="0.78740157480314965" bottom="0.78740157480314965" header="0" footer="0"/>
  <pageSetup paperSize="9" scale="95" fitToHeight="0" orientation="portrait" r:id="rId1"/>
  <rowBreaks count="3" manualBreakCount="3">
    <brk id="42" max="16383" man="1"/>
    <brk id="78" max="16383" man="1"/>
    <brk id="90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4F1FA-EB39-4BCF-8A8E-E0D28881F80D}">
  <sheetPr>
    <tabColor rgb="FF92D050"/>
    <pageSetUpPr fitToPage="1"/>
  </sheetPr>
  <dimension ref="A1:Q34"/>
  <sheetViews>
    <sheetView workbookViewId="0"/>
  </sheetViews>
  <sheetFormatPr defaultColWidth="0" defaultRowHeight="15" zeroHeight="1" x14ac:dyDescent="0.25"/>
  <cols>
    <col min="1" max="1" width="1.28515625" customWidth="1"/>
    <col min="2" max="2" width="27.140625" customWidth="1"/>
    <col min="3" max="3" width="9" customWidth="1"/>
    <col min="4" max="7" width="9.140625" customWidth="1"/>
    <col min="8" max="8" width="2" customWidth="1"/>
    <col min="9" max="9" width="34.42578125" customWidth="1"/>
    <col min="10" max="10" width="8.28515625" customWidth="1"/>
    <col min="11" max="11" width="10" customWidth="1"/>
    <col min="12" max="12" width="1.42578125" customWidth="1"/>
    <col min="13" max="17" width="0" hidden="1" customWidth="1"/>
    <col min="18" max="16384" width="9.140625" hidden="1"/>
  </cols>
  <sheetData>
    <row r="1" spans="2:17" s="38" customFormat="1" ht="53.25" customHeight="1" x14ac:dyDescent="0.25">
      <c r="B1" s="434" t="s">
        <v>667</v>
      </c>
      <c r="C1" s="434"/>
      <c r="D1" s="434"/>
      <c r="E1" s="434"/>
      <c r="F1" s="434"/>
      <c r="G1" s="434"/>
      <c r="H1" s="434"/>
      <c r="I1" s="434"/>
      <c r="J1" s="434"/>
      <c r="K1" s="434"/>
      <c r="L1" s="313"/>
      <c r="M1" s="313"/>
      <c r="N1" s="313"/>
      <c r="O1" s="313"/>
      <c r="P1" s="313"/>
      <c r="Q1" s="313"/>
    </row>
    <row r="2" spans="2:17" x14ac:dyDescent="0.25"/>
    <row r="3" spans="2:17" ht="18.75" x14ac:dyDescent="0.3">
      <c r="B3" s="221" t="s">
        <v>668</v>
      </c>
      <c r="C3" s="538"/>
      <c r="D3" s="538"/>
      <c r="E3" s="538"/>
      <c r="F3" s="538"/>
      <c r="G3" s="538"/>
      <c r="H3" s="538"/>
      <c r="I3" s="538"/>
      <c r="J3" s="538"/>
      <c r="K3" s="538"/>
    </row>
    <row r="4" spans="2:17" ht="18.75" x14ac:dyDescent="0.3">
      <c r="B4" s="221" t="s">
        <v>669</v>
      </c>
      <c r="C4" s="538"/>
      <c r="D4" s="538"/>
      <c r="E4" s="538"/>
      <c r="F4" s="538"/>
      <c r="G4" s="538"/>
      <c r="H4" s="538"/>
      <c r="I4" s="221" t="s">
        <v>670</v>
      </c>
      <c r="J4" s="539"/>
      <c r="K4" s="539"/>
    </row>
    <row r="5" spans="2:17" x14ac:dyDescent="0.25">
      <c r="B5" s="218"/>
      <c r="C5" s="219"/>
      <c r="D5" s="219"/>
      <c r="E5" s="219"/>
      <c r="F5" s="219"/>
      <c r="I5" s="218"/>
      <c r="J5" s="219"/>
      <c r="K5" s="219"/>
    </row>
    <row r="6" spans="2:17" ht="18.75" x14ac:dyDescent="0.3">
      <c r="B6" s="221" t="s">
        <v>671</v>
      </c>
      <c r="C6" s="539"/>
      <c r="D6" s="539"/>
      <c r="E6" s="539"/>
      <c r="F6" s="539"/>
      <c r="G6" s="539"/>
      <c r="H6" s="539"/>
      <c r="I6" s="221" t="s">
        <v>672</v>
      </c>
      <c r="J6" s="540"/>
      <c r="K6" s="541"/>
    </row>
    <row r="7" spans="2:17" x14ac:dyDescent="0.25"/>
    <row r="8" spans="2:17" ht="18.75" x14ac:dyDescent="0.3">
      <c r="B8" s="221" t="s">
        <v>673</v>
      </c>
      <c r="C8" s="542"/>
      <c r="D8" s="542"/>
      <c r="E8" s="542"/>
      <c r="F8" s="542"/>
      <c r="G8" s="542"/>
      <c r="H8" s="542"/>
      <c r="I8" s="222" t="s">
        <v>674</v>
      </c>
      <c r="J8" s="539"/>
      <c r="K8" s="539"/>
    </row>
    <row r="9" spans="2:17" x14ac:dyDescent="0.25"/>
    <row r="10" spans="2:17" ht="18.75" x14ac:dyDescent="0.3">
      <c r="B10" s="538"/>
      <c r="C10" s="538"/>
      <c r="D10" s="538"/>
      <c r="E10" s="538"/>
      <c r="F10" s="538"/>
      <c r="G10" s="538"/>
      <c r="I10" s="221" t="s">
        <v>675</v>
      </c>
      <c r="J10" s="539"/>
      <c r="K10" s="539"/>
    </row>
    <row r="11" spans="2:17" ht="18.75" x14ac:dyDescent="0.3">
      <c r="B11" s="538"/>
      <c r="C11" s="538"/>
      <c r="D11" s="538"/>
      <c r="E11" s="538"/>
      <c r="F11" s="538"/>
      <c r="G11" s="538"/>
      <c r="I11" s="221" t="s">
        <v>676</v>
      </c>
      <c r="J11" s="539"/>
      <c r="K11" s="539"/>
    </row>
    <row r="12" spans="2:17" x14ac:dyDescent="0.25"/>
    <row r="13" spans="2:17" ht="18.75" x14ac:dyDescent="0.3">
      <c r="B13" s="539" t="s">
        <v>677</v>
      </c>
      <c r="C13" s="539"/>
      <c r="D13" s="539"/>
      <c r="E13" s="539"/>
      <c r="F13" s="539"/>
      <c r="G13" s="539"/>
      <c r="I13" s="539" t="s">
        <v>678</v>
      </c>
      <c r="J13" s="539"/>
      <c r="K13" s="539"/>
    </row>
    <row r="14" spans="2:17" x14ac:dyDescent="0.25"/>
    <row r="15" spans="2:17" ht="18.75" x14ac:dyDescent="0.3">
      <c r="B15" s="550" t="s">
        <v>679</v>
      </c>
      <c r="C15" s="550"/>
      <c r="D15" s="223" t="s">
        <v>680</v>
      </c>
      <c r="E15" s="223" t="s">
        <v>681</v>
      </c>
      <c r="F15" s="223" t="s">
        <v>682</v>
      </c>
      <c r="G15" s="223" t="s">
        <v>683</v>
      </c>
      <c r="I15" s="222" t="s">
        <v>680</v>
      </c>
      <c r="J15" s="539"/>
      <c r="K15" s="539"/>
    </row>
    <row r="16" spans="2:17" ht="18.75" x14ac:dyDescent="0.3">
      <c r="B16" s="548" t="s">
        <v>684</v>
      </c>
      <c r="C16" s="548"/>
      <c r="D16" s="224"/>
      <c r="E16" s="224"/>
      <c r="F16" s="224"/>
      <c r="G16" s="224"/>
      <c r="I16" s="222" t="s">
        <v>681</v>
      </c>
      <c r="J16" s="539"/>
      <c r="K16" s="539"/>
    </row>
    <row r="17" spans="2:11" ht="18.75" x14ac:dyDescent="0.3">
      <c r="B17" s="548" t="s">
        <v>685</v>
      </c>
      <c r="C17" s="548"/>
      <c r="D17" s="224"/>
      <c r="E17" s="224"/>
      <c r="F17" s="224"/>
      <c r="G17" s="224"/>
      <c r="I17" s="222" t="s">
        <v>682</v>
      </c>
      <c r="J17" s="539"/>
      <c r="K17" s="539"/>
    </row>
    <row r="18" spans="2:11" ht="18.75" x14ac:dyDescent="0.3">
      <c r="B18" s="548" t="s">
        <v>686</v>
      </c>
      <c r="C18" s="548"/>
      <c r="D18" s="224"/>
      <c r="E18" s="224"/>
      <c r="F18" s="224"/>
      <c r="G18" s="224"/>
      <c r="I18" s="222" t="s">
        <v>683</v>
      </c>
      <c r="J18" s="544"/>
      <c r="K18" s="545"/>
    </row>
    <row r="19" spans="2:11" ht="15.75" x14ac:dyDescent="0.25">
      <c r="B19" s="548" t="s">
        <v>687</v>
      </c>
      <c r="C19" s="548"/>
      <c r="D19" s="224"/>
      <c r="E19" s="224"/>
      <c r="F19" s="224"/>
      <c r="G19" s="224"/>
    </row>
    <row r="20" spans="2:11" ht="18.75" x14ac:dyDescent="0.3">
      <c r="E20" s="539" t="s">
        <v>688</v>
      </c>
      <c r="F20" s="539"/>
      <c r="G20" s="222"/>
    </row>
    <row r="21" spans="2:11" ht="18.75" x14ac:dyDescent="0.3">
      <c r="E21" s="226"/>
      <c r="F21" s="226"/>
      <c r="G21" s="220"/>
    </row>
    <row r="22" spans="2:11" ht="18.75" customHeight="1" x14ac:dyDescent="0.25">
      <c r="B22" s="546" t="s">
        <v>689</v>
      </c>
      <c r="C22" s="547"/>
      <c r="D22" s="547"/>
      <c r="E22" s="547"/>
      <c r="F22" s="547"/>
      <c r="G22" s="547"/>
      <c r="H22" s="547"/>
      <c r="I22" s="547"/>
      <c r="J22" s="547"/>
      <c r="K22" s="547"/>
    </row>
    <row r="23" spans="2:11" x14ac:dyDescent="0.25"/>
    <row r="24" spans="2:11" ht="396.75" customHeight="1" x14ac:dyDescent="0.25">
      <c r="B24" s="549" t="s">
        <v>690</v>
      </c>
      <c r="C24" s="549"/>
      <c r="D24" s="549"/>
      <c r="E24" s="549"/>
      <c r="F24" s="549"/>
      <c r="G24" s="549"/>
      <c r="H24" s="549"/>
      <c r="I24" s="549"/>
      <c r="J24" s="549"/>
      <c r="K24" s="549"/>
    </row>
    <row r="25" spans="2:11" ht="117" customHeight="1" x14ac:dyDescent="0.25">
      <c r="B25" s="549"/>
      <c r="C25" s="549"/>
      <c r="D25" s="549"/>
      <c r="E25" s="549"/>
      <c r="F25" s="549"/>
      <c r="G25" s="549"/>
      <c r="H25" s="549"/>
      <c r="I25" s="549"/>
      <c r="J25" s="549"/>
      <c r="K25" s="549"/>
    </row>
    <row r="26" spans="2:11" x14ac:dyDescent="0.25"/>
    <row r="27" spans="2:11" x14ac:dyDescent="0.25">
      <c r="B27" s="543" t="s">
        <v>691</v>
      </c>
      <c r="C27" s="543"/>
      <c r="D27" s="543"/>
      <c r="E27" s="543"/>
      <c r="F27" s="543"/>
      <c r="G27" s="543"/>
      <c r="H27" s="543"/>
      <c r="I27" s="543"/>
      <c r="J27" s="543"/>
      <c r="K27" s="543"/>
    </row>
    <row r="28" spans="2:11" x14ac:dyDescent="0.25">
      <c r="B28" s="543"/>
      <c r="C28" s="543"/>
      <c r="D28" s="543"/>
      <c r="E28" s="543"/>
      <c r="F28" s="543"/>
      <c r="G28" s="543"/>
      <c r="H28" s="543"/>
      <c r="I28" s="543"/>
      <c r="J28" s="543"/>
      <c r="K28" s="543"/>
    </row>
    <row r="29" spans="2:11" x14ac:dyDescent="0.25">
      <c r="B29" s="543"/>
      <c r="C29" s="543"/>
      <c r="D29" s="543"/>
      <c r="E29" s="543"/>
      <c r="F29" s="543"/>
      <c r="G29" s="543"/>
      <c r="H29" s="543"/>
      <c r="I29" s="543"/>
      <c r="J29" s="543"/>
      <c r="K29" s="543"/>
    </row>
    <row r="30" spans="2:11" x14ac:dyDescent="0.25">
      <c r="B30" s="543"/>
      <c r="C30" s="543"/>
      <c r="D30" s="543"/>
      <c r="E30" s="543"/>
      <c r="F30" s="543"/>
      <c r="G30" s="543"/>
      <c r="H30" s="543"/>
      <c r="I30" s="543"/>
      <c r="J30" s="543"/>
      <c r="K30" s="543"/>
    </row>
    <row r="31" spans="2:11" x14ac:dyDescent="0.25">
      <c r="B31" s="543"/>
      <c r="C31" s="543"/>
      <c r="D31" s="543"/>
      <c r="E31" s="543"/>
      <c r="F31" s="543"/>
      <c r="G31" s="543"/>
      <c r="H31" s="543"/>
      <c r="I31" s="543"/>
      <c r="J31" s="543"/>
      <c r="K31" s="543"/>
    </row>
    <row r="32" spans="2:11" x14ac:dyDescent="0.25">
      <c r="B32" s="543"/>
      <c r="C32" s="543"/>
      <c r="D32" s="543"/>
      <c r="E32" s="543"/>
      <c r="F32" s="543"/>
      <c r="G32" s="543"/>
      <c r="H32" s="543"/>
      <c r="I32" s="543"/>
      <c r="J32" s="543"/>
      <c r="K32" s="543"/>
    </row>
    <row r="33" spans="2:11" x14ac:dyDescent="0.25">
      <c r="B33" s="225"/>
      <c r="C33" s="225"/>
      <c r="D33" s="225"/>
      <c r="E33" s="225"/>
      <c r="F33" s="225"/>
      <c r="G33" s="225"/>
      <c r="H33" s="225"/>
      <c r="I33" s="225"/>
      <c r="J33" s="225"/>
      <c r="K33" s="225"/>
    </row>
    <row r="34" spans="2:11" hidden="1" x14ac:dyDescent="0.25">
      <c r="B34" s="225"/>
      <c r="C34" s="225"/>
      <c r="D34" s="225"/>
      <c r="E34" s="225"/>
      <c r="F34" s="225"/>
      <c r="G34" s="225"/>
      <c r="H34" s="225"/>
      <c r="I34" s="225"/>
      <c r="J34" s="225"/>
      <c r="K34" s="225"/>
    </row>
  </sheetData>
  <mergeCells count="26">
    <mergeCell ref="B1:K1"/>
    <mergeCell ref="B27:K32"/>
    <mergeCell ref="J18:K18"/>
    <mergeCell ref="B22:K22"/>
    <mergeCell ref="B17:C17"/>
    <mergeCell ref="B18:C18"/>
    <mergeCell ref="B19:C19"/>
    <mergeCell ref="E20:F20"/>
    <mergeCell ref="B24:K25"/>
    <mergeCell ref="B13:G13"/>
    <mergeCell ref="B15:C15"/>
    <mergeCell ref="B16:C16"/>
    <mergeCell ref="I13:K13"/>
    <mergeCell ref="J15:K15"/>
    <mergeCell ref="J16:K16"/>
    <mergeCell ref="J17:K17"/>
    <mergeCell ref="J11:K11"/>
    <mergeCell ref="J6:K6"/>
    <mergeCell ref="C8:H8"/>
    <mergeCell ref="B10:G11"/>
    <mergeCell ref="J8:K8"/>
    <mergeCell ref="C3:K3"/>
    <mergeCell ref="C6:H6"/>
    <mergeCell ref="J4:K4"/>
    <mergeCell ref="C4:H4"/>
    <mergeCell ref="J10:K10"/>
  </mergeCells>
  <printOptions horizontalCentered="1"/>
  <pageMargins left="0.43307086614173229" right="0.43307086614173229" top="0.55118110236220474" bottom="0.55118110236220474" header="0.31496062992125984" footer="0.31496062992125984"/>
  <pageSetup paperSize="9" scale="74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outlinePr summaryBelow="0"/>
    <pageSetUpPr fitToPage="1"/>
  </sheetPr>
  <dimension ref="A1:D165"/>
  <sheetViews>
    <sheetView workbookViewId="0"/>
  </sheetViews>
  <sheetFormatPr defaultColWidth="14.42578125" defaultRowHeight="15" customHeight="1" x14ac:dyDescent="0.25"/>
  <cols>
    <col min="1" max="1" width="6.7109375" customWidth="1"/>
    <col min="2" max="2" width="64.7109375" customWidth="1"/>
    <col min="3" max="3" width="18.7109375" customWidth="1"/>
    <col min="4" max="4" width="18.7109375" style="33" customWidth="1"/>
    <col min="5" max="16384" width="14.42578125" style="159"/>
  </cols>
  <sheetData>
    <row r="1" spans="1:4" ht="40.5" customHeight="1" x14ac:dyDescent="0.25">
      <c r="A1" s="38"/>
      <c r="B1" s="313" t="s">
        <v>692</v>
      </c>
      <c r="C1" s="37"/>
      <c r="D1" s="37"/>
    </row>
    <row r="2" spans="1:4" ht="15.95" customHeight="1" thickBot="1" x14ac:dyDescent="0.3">
      <c r="A2" s="125"/>
      <c r="B2" s="42"/>
      <c r="C2" s="126"/>
      <c r="D2" s="127"/>
    </row>
    <row r="3" spans="1:4" ht="15" customHeight="1" x14ac:dyDescent="0.25">
      <c r="A3" s="192"/>
      <c r="B3" s="314" t="s">
        <v>693</v>
      </c>
      <c r="C3" s="552"/>
      <c r="D3" s="552"/>
    </row>
    <row r="4" spans="1:4" ht="15" customHeight="1" x14ac:dyDescent="0.25">
      <c r="A4" s="193"/>
      <c r="B4" s="274" t="s">
        <v>694</v>
      </c>
      <c r="C4" s="553"/>
      <c r="D4" s="553"/>
    </row>
    <row r="5" spans="1:4" ht="15.75" customHeight="1" thickBot="1" x14ac:dyDescent="0.3">
      <c r="A5" s="194"/>
      <c r="B5" s="195" t="s">
        <v>695</v>
      </c>
      <c r="C5" s="554"/>
      <c r="D5" s="554"/>
    </row>
    <row r="6" spans="1:4" ht="15.95" customHeight="1" thickBot="1" x14ac:dyDescent="0.3">
      <c r="A6" s="125"/>
      <c r="B6" s="42"/>
      <c r="C6" s="126"/>
      <c r="D6" s="127"/>
    </row>
    <row r="7" spans="1:4" ht="15" customHeight="1" x14ac:dyDescent="0.25">
      <c r="A7" s="563" t="s">
        <v>696</v>
      </c>
      <c r="B7" s="564"/>
      <c r="C7" s="128"/>
      <c r="D7" s="129"/>
    </row>
    <row r="8" spans="1:4" ht="15" customHeight="1" x14ac:dyDescent="0.25">
      <c r="A8" s="45" t="s">
        <v>697</v>
      </c>
      <c r="B8" s="263" t="s">
        <v>698</v>
      </c>
      <c r="C8" s="555"/>
      <c r="D8" s="555"/>
    </row>
    <row r="9" spans="1:4" ht="15" customHeight="1" x14ac:dyDescent="0.25">
      <c r="A9" s="45" t="s">
        <v>699</v>
      </c>
      <c r="B9" s="263" t="s">
        <v>700</v>
      </c>
      <c r="C9" s="555" t="str">
        <f>'DADOS CCT'!B4</f>
        <v>SANTA MARIA</v>
      </c>
      <c r="D9" s="555"/>
    </row>
    <row r="10" spans="1:4" ht="15" customHeight="1" x14ac:dyDescent="0.25">
      <c r="A10" s="45" t="s">
        <v>701</v>
      </c>
      <c r="B10" s="263" t="s">
        <v>702</v>
      </c>
      <c r="C10" s="555" t="str">
        <f>'DADOS CCT'!C4&amp;" - "&amp;'DADOS CCT'!D5</f>
        <v>SINTEPS/RS - RS000042/2024</v>
      </c>
      <c r="D10" s="555"/>
    </row>
    <row r="11" spans="1:4" ht="15" customHeight="1" x14ac:dyDescent="0.25">
      <c r="A11" s="45" t="s">
        <v>703</v>
      </c>
      <c r="B11" s="263" t="s">
        <v>704</v>
      </c>
      <c r="C11" s="556">
        <v>12</v>
      </c>
      <c r="D11" s="556"/>
    </row>
    <row r="12" spans="1:4" ht="15" customHeight="1" x14ac:dyDescent="0.25">
      <c r="A12" s="45" t="s">
        <v>705</v>
      </c>
      <c r="B12" s="263" t="s">
        <v>706</v>
      </c>
      <c r="C12" s="557">
        <f>'DADOS CCT'!D6</f>
        <v>45292</v>
      </c>
      <c r="D12" s="557"/>
    </row>
    <row r="13" spans="1:4" ht="29.25" customHeight="1" x14ac:dyDescent="0.25">
      <c r="A13" s="45" t="s">
        <v>707</v>
      </c>
      <c r="B13" s="315" t="s">
        <v>708</v>
      </c>
      <c r="C13" s="558" t="s">
        <v>709</v>
      </c>
      <c r="D13" s="558"/>
    </row>
    <row r="14" spans="1:4" x14ac:dyDescent="0.25">
      <c r="A14" s="130" t="s">
        <v>710</v>
      </c>
      <c r="B14" s="131" t="s">
        <v>711</v>
      </c>
      <c r="C14" s="559" t="s">
        <v>712</v>
      </c>
      <c r="D14" s="559"/>
    </row>
    <row r="15" spans="1:4" x14ac:dyDescent="0.25">
      <c r="A15" s="130" t="s">
        <v>713</v>
      </c>
      <c r="B15" s="131" t="s">
        <v>714</v>
      </c>
      <c r="C15" s="559" t="s">
        <v>896</v>
      </c>
      <c r="D15" s="559"/>
    </row>
    <row r="16" spans="1:4" x14ac:dyDescent="0.25">
      <c r="A16" s="130" t="s">
        <v>716</v>
      </c>
      <c r="B16" s="131" t="s">
        <v>717</v>
      </c>
      <c r="C16" s="559" t="str">
        <f ca="1">RIGHT(CELL("nome.arquivo",A1),LEN(CELL("nome.arquivo",A1))-SEARCH("]",CELL("nome.arquivo",A1)))</f>
        <v>5143-20 SRV.L 5x2 DIURNO SM</v>
      </c>
      <c r="D16" s="559"/>
    </row>
    <row r="17" spans="1:4" x14ac:dyDescent="0.25">
      <c r="A17" s="130" t="s">
        <v>718</v>
      </c>
      <c r="B17" s="131" t="s">
        <v>719</v>
      </c>
      <c r="C17" s="560" t="s">
        <v>1194</v>
      </c>
      <c r="D17" s="560"/>
    </row>
    <row r="18" spans="1:4" x14ac:dyDescent="0.25">
      <c r="A18" s="130" t="s">
        <v>721</v>
      </c>
      <c r="B18" s="131" t="s">
        <v>722</v>
      </c>
      <c r="C18" s="560">
        <v>21</v>
      </c>
      <c r="D18" s="560"/>
    </row>
    <row r="19" spans="1:4" ht="15.75" customHeight="1" x14ac:dyDescent="0.25">
      <c r="A19" s="130" t="s">
        <v>723</v>
      </c>
      <c r="B19" s="131" t="s">
        <v>724</v>
      </c>
      <c r="C19" s="560">
        <f>'DADOS CCT'!D7</f>
        <v>1540.51</v>
      </c>
      <c r="D19" s="560"/>
    </row>
    <row r="20" spans="1:4" ht="15.75" customHeight="1" x14ac:dyDescent="0.25">
      <c r="A20" s="130" t="s">
        <v>725</v>
      </c>
      <c r="B20" s="132" t="s">
        <v>726</v>
      </c>
      <c r="C20" s="573">
        <f>C19/220</f>
        <v>7.0023181818181817</v>
      </c>
      <c r="D20" s="573"/>
    </row>
    <row r="21" spans="1:4" ht="15.75" customHeight="1" x14ac:dyDescent="0.25">
      <c r="A21" s="130" t="s">
        <v>727</v>
      </c>
      <c r="B21" s="132" t="s">
        <v>728</v>
      </c>
      <c r="C21" s="573">
        <f>C20*1.5</f>
        <v>10.503477272727272</v>
      </c>
      <c r="D21" s="573"/>
    </row>
    <row r="22" spans="1:4" ht="15.75" customHeight="1" x14ac:dyDescent="0.25">
      <c r="A22" s="130" t="s">
        <v>729</v>
      </c>
      <c r="B22" s="132" t="s">
        <v>730</v>
      </c>
      <c r="C22" s="573">
        <f>C20*2</f>
        <v>14.004636363636363</v>
      </c>
      <c r="D22" s="573"/>
    </row>
    <row r="23" spans="1:4" ht="15.75" customHeight="1" thickBot="1" x14ac:dyDescent="0.3">
      <c r="A23" s="133" t="s">
        <v>731</v>
      </c>
      <c r="B23" s="134" t="s">
        <v>732</v>
      </c>
      <c r="C23" s="574">
        <f>C20*0.2</f>
        <v>1.4004636363636365</v>
      </c>
      <c r="D23" s="574"/>
    </row>
    <row r="24" spans="1:4" ht="15.95" customHeight="1" thickBot="1" x14ac:dyDescent="0.3">
      <c r="A24" s="125"/>
      <c r="B24" s="42"/>
      <c r="C24" s="126"/>
      <c r="D24" s="127"/>
    </row>
    <row r="25" spans="1:4" ht="15.75" thickBot="1" x14ac:dyDescent="0.3">
      <c r="A25" s="565"/>
      <c r="B25" s="566"/>
      <c r="C25" s="567" t="str">
        <f>'DADOS CCT'!D3</f>
        <v>00 - VALOR ESTIMADO</v>
      </c>
      <c r="D25" s="568"/>
    </row>
    <row r="26" spans="1:4" ht="6" customHeight="1" thickBot="1" x14ac:dyDescent="0.3">
      <c r="A26" s="4"/>
      <c r="B26" s="1"/>
      <c r="C26" s="5"/>
      <c r="D26" s="6"/>
    </row>
    <row r="27" spans="1:4" ht="18" customHeight="1" x14ac:dyDescent="0.25">
      <c r="A27" s="569" t="s">
        <v>733</v>
      </c>
      <c r="B27" s="570"/>
      <c r="C27" s="190"/>
      <c r="D27" s="191" t="s">
        <v>734</v>
      </c>
    </row>
    <row r="28" spans="1:4" ht="15.75" customHeight="1" x14ac:dyDescent="0.25">
      <c r="A28" s="45" t="s">
        <v>735</v>
      </c>
      <c r="B28" s="46" t="s">
        <v>736</v>
      </c>
      <c r="C28" s="135">
        <v>200</v>
      </c>
      <c r="D28" s="28">
        <f>C28*C19/220</f>
        <v>1400.4636363636364</v>
      </c>
    </row>
    <row r="29" spans="1:4" ht="15.75" customHeight="1" x14ac:dyDescent="0.25">
      <c r="A29" s="45" t="s">
        <v>737</v>
      </c>
      <c r="B29" s="46" t="s">
        <v>738</v>
      </c>
      <c r="C29" s="136"/>
      <c r="D29" s="28">
        <f>D$28*C29</f>
        <v>0</v>
      </c>
    </row>
    <row r="30" spans="1:4" ht="15.75" customHeight="1" x14ac:dyDescent="0.25">
      <c r="A30" s="45" t="s">
        <v>739</v>
      </c>
      <c r="B30" s="46" t="s">
        <v>740</v>
      </c>
      <c r="C30" s="136">
        <v>0.2</v>
      </c>
      <c r="D30" s="208">
        <f>C30*C19</f>
        <v>308.10200000000003</v>
      </c>
    </row>
    <row r="31" spans="1:4" ht="15.75" customHeight="1" x14ac:dyDescent="0.25">
      <c r="A31" s="45" t="s">
        <v>741</v>
      </c>
      <c r="B31" s="46" t="s">
        <v>742</v>
      </c>
      <c r="C31" s="28"/>
      <c r="D31" s="28">
        <f>(D28/C28)*0.2*C31*(60/52.5)</f>
        <v>0</v>
      </c>
    </row>
    <row r="32" spans="1:4" ht="15.75" customHeight="1" x14ac:dyDescent="0.25">
      <c r="A32" s="45" t="s">
        <v>743</v>
      </c>
      <c r="B32" s="46" t="s">
        <v>744</v>
      </c>
      <c r="C32" s="28"/>
      <c r="D32" s="28">
        <f>(D28/C28)*1.5*C32</f>
        <v>0</v>
      </c>
    </row>
    <row r="33" spans="1:4" ht="15.75" customHeight="1" x14ac:dyDescent="0.25">
      <c r="A33" s="571" t="s">
        <v>745</v>
      </c>
      <c r="B33" s="572"/>
      <c r="C33" s="184"/>
      <c r="D33" s="185">
        <f>SUM(D28:D32)</f>
        <v>1708.5656363636365</v>
      </c>
    </row>
    <row r="34" spans="1:4" ht="15.75" customHeight="1" x14ac:dyDescent="0.25">
      <c r="A34" s="45" t="s">
        <v>746</v>
      </c>
      <c r="B34" s="46" t="s">
        <v>747</v>
      </c>
      <c r="C34" s="28"/>
      <c r="D34" s="28">
        <f>15*C34*(D28/C28)*1.5</f>
        <v>0</v>
      </c>
    </row>
    <row r="35" spans="1:4" ht="15.75" customHeight="1" x14ac:dyDescent="0.25">
      <c r="A35" s="45" t="s">
        <v>748</v>
      </c>
      <c r="B35" s="46" t="s">
        <v>749</v>
      </c>
      <c r="C35" s="139">
        <f>'DADOS CCT'!D12</f>
        <v>0</v>
      </c>
      <c r="D35" s="28">
        <f>D28*C35</f>
        <v>0</v>
      </c>
    </row>
    <row r="36" spans="1:4" ht="15.75" customHeight="1" x14ac:dyDescent="0.25">
      <c r="A36" s="45" t="s">
        <v>750</v>
      </c>
      <c r="B36" s="46" t="s">
        <v>751</v>
      </c>
      <c r="C36" s="136"/>
      <c r="D36" s="28">
        <f>D$28*C36</f>
        <v>0</v>
      </c>
    </row>
    <row r="37" spans="1:4" ht="15.75" customHeight="1" thickBot="1" x14ac:dyDescent="0.3">
      <c r="A37" s="575" t="s">
        <v>752</v>
      </c>
      <c r="B37" s="576"/>
      <c r="C37" s="188"/>
      <c r="D37" s="189">
        <f>SUM(D33:D36)</f>
        <v>1708.5656363636365</v>
      </c>
    </row>
    <row r="38" spans="1:4" ht="24" customHeight="1" x14ac:dyDescent="0.25">
      <c r="A38" s="577" t="s">
        <v>1233</v>
      </c>
      <c r="B38" s="578"/>
      <c r="C38" s="8"/>
      <c r="D38" s="127"/>
    </row>
    <row r="39" spans="1:4" ht="8.1" customHeight="1" thickBot="1" x14ac:dyDescent="0.3">
      <c r="A39" s="7"/>
      <c r="B39" s="16"/>
      <c r="C39" s="8"/>
      <c r="D39" s="127"/>
    </row>
    <row r="40" spans="1:4" ht="18" customHeight="1" x14ac:dyDescent="0.25">
      <c r="A40" s="579" t="s">
        <v>753</v>
      </c>
      <c r="B40" s="580"/>
      <c r="C40" s="142"/>
      <c r="D40" s="187"/>
    </row>
    <row r="41" spans="1:4" ht="6" customHeight="1" x14ac:dyDescent="0.25">
      <c r="A41" s="125"/>
      <c r="B41" s="42"/>
      <c r="C41" s="126"/>
      <c r="D41" s="127"/>
    </row>
    <row r="42" spans="1:4" ht="15.75" customHeight="1" x14ac:dyDescent="0.25">
      <c r="A42" s="581" t="s">
        <v>754</v>
      </c>
      <c r="B42" s="572"/>
      <c r="C42" s="182"/>
      <c r="D42" s="183" t="s">
        <v>734</v>
      </c>
    </row>
    <row r="43" spans="1:4" ht="15" customHeight="1" x14ac:dyDescent="0.25">
      <c r="A43" s="45" t="s">
        <v>755</v>
      </c>
      <c r="B43" s="46" t="s">
        <v>756</v>
      </c>
      <c r="C43" s="136">
        <v>8.3299999999999999E-2</v>
      </c>
      <c r="D43" s="28">
        <f>D$33*C43</f>
        <v>142.32351750909092</v>
      </c>
    </row>
    <row r="44" spans="1:4" ht="15" customHeight="1" x14ac:dyDescent="0.25">
      <c r="A44" s="45" t="s">
        <v>757</v>
      </c>
      <c r="B44" s="46" t="s">
        <v>758</v>
      </c>
      <c r="C44" s="143">
        <v>3.0249999999999999E-2</v>
      </c>
      <c r="D44" s="28">
        <f>D$33*C44</f>
        <v>51.684110500000003</v>
      </c>
    </row>
    <row r="45" spans="1:4" ht="15.75" customHeight="1" x14ac:dyDescent="0.25">
      <c r="A45" s="582" t="s">
        <v>752</v>
      </c>
      <c r="B45" s="572"/>
      <c r="C45" s="186"/>
      <c r="D45" s="185">
        <f>SUM(D43:D44)</f>
        <v>194.00762800909092</v>
      </c>
    </row>
    <row r="46" spans="1:4" ht="37.5" customHeight="1" x14ac:dyDescent="0.25">
      <c r="A46" s="583" t="s">
        <v>759</v>
      </c>
      <c r="B46" s="584"/>
      <c r="C46" s="141"/>
      <c r="D46" s="41"/>
    </row>
    <row r="47" spans="1:4" ht="8.1" customHeight="1" x14ac:dyDescent="0.25">
      <c r="A47" s="125"/>
      <c r="B47" s="33"/>
      <c r="C47" s="126"/>
      <c r="D47" s="127"/>
    </row>
    <row r="48" spans="1:4" ht="15.75" customHeight="1" x14ac:dyDescent="0.25">
      <c r="A48" s="581" t="s">
        <v>760</v>
      </c>
      <c r="B48" s="572"/>
      <c r="C48" s="182"/>
      <c r="D48" s="183" t="s">
        <v>734</v>
      </c>
    </row>
    <row r="49" spans="1:4" ht="15" customHeight="1" x14ac:dyDescent="0.25">
      <c r="A49" s="45" t="s">
        <v>761</v>
      </c>
      <c r="B49" s="46" t="s">
        <v>762</v>
      </c>
      <c r="C49" s="136">
        <v>0.2</v>
      </c>
      <c r="D49" s="28">
        <f t="shared" ref="D49:D57" si="0">(D$33+D$45)*C49</f>
        <v>380.5146528745455</v>
      </c>
    </row>
    <row r="50" spans="1:4" ht="15" customHeight="1" x14ac:dyDescent="0.25">
      <c r="A50" s="45" t="s">
        <v>763</v>
      </c>
      <c r="B50" s="46" t="s">
        <v>764</v>
      </c>
      <c r="C50" s="136">
        <v>2.5000000000000001E-2</v>
      </c>
      <c r="D50" s="28">
        <f t="shared" si="0"/>
        <v>47.564331609318188</v>
      </c>
    </row>
    <row r="51" spans="1:4" ht="15" customHeight="1" x14ac:dyDescent="0.25">
      <c r="A51" s="45" t="s">
        <v>765</v>
      </c>
      <c r="B51" s="46" t="s">
        <v>766</v>
      </c>
      <c r="C51" s="144">
        <f>'DADOS CCT'!D$22*'DADOS CCT'!D$23</f>
        <v>0.06</v>
      </c>
      <c r="D51" s="28">
        <f t="shared" si="0"/>
        <v>114.15439586236364</v>
      </c>
    </row>
    <row r="52" spans="1:4" ht="15" customHeight="1" x14ac:dyDescent="0.25">
      <c r="A52" s="45" t="s">
        <v>767</v>
      </c>
      <c r="B52" s="46" t="s">
        <v>768</v>
      </c>
      <c r="C52" s="136">
        <v>1.4999999999999999E-2</v>
      </c>
      <c r="D52" s="28">
        <f t="shared" si="0"/>
        <v>28.538598965590911</v>
      </c>
    </row>
    <row r="53" spans="1:4" ht="15" customHeight="1" x14ac:dyDescent="0.25">
      <c r="A53" s="45" t="s">
        <v>769</v>
      </c>
      <c r="B53" s="46" t="s">
        <v>770</v>
      </c>
      <c r="C53" s="136">
        <v>0.01</v>
      </c>
      <c r="D53" s="28">
        <f t="shared" si="0"/>
        <v>19.025732643727274</v>
      </c>
    </row>
    <row r="54" spans="1:4" ht="15" customHeight="1" x14ac:dyDescent="0.25">
      <c r="A54" s="45" t="s">
        <v>771</v>
      </c>
      <c r="B54" s="46" t="s">
        <v>772</v>
      </c>
      <c r="C54" s="136">
        <v>6.0000000000000001E-3</v>
      </c>
      <c r="D54" s="28">
        <f t="shared" si="0"/>
        <v>11.415439586236365</v>
      </c>
    </row>
    <row r="55" spans="1:4" ht="15" customHeight="1" x14ac:dyDescent="0.25">
      <c r="A55" s="45" t="s">
        <v>773</v>
      </c>
      <c r="B55" s="46" t="s">
        <v>774</v>
      </c>
      <c r="C55" s="136">
        <v>2E-3</v>
      </c>
      <c r="D55" s="28">
        <f t="shared" si="0"/>
        <v>3.8051465287454551</v>
      </c>
    </row>
    <row r="56" spans="1:4" ht="15" customHeight="1" x14ac:dyDescent="0.25">
      <c r="A56" s="45" t="s">
        <v>775</v>
      </c>
      <c r="B56" s="46" t="s">
        <v>776</v>
      </c>
      <c r="C56" s="136">
        <v>0.08</v>
      </c>
      <c r="D56" s="28">
        <f t="shared" si="0"/>
        <v>152.20586114981819</v>
      </c>
    </row>
    <row r="57" spans="1:4" ht="15" customHeight="1" x14ac:dyDescent="0.25">
      <c r="A57" s="45" t="s">
        <v>777</v>
      </c>
      <c r="B57" s="46" t="s">
        <v>778</v>
      </c>
      <c r="C57" s="136"/>
      <c r="D57" s="28">
        <f t="shared" si="0"/>
        <v>0</v>
      </c>
    </row>
    <row r="58" spans="1:4" ht="15.75" customHeight="1" x14ac:dyDescent="0.25">
      <c r="A58" s="585" t="s">
        <v>752</v>
      </c>
      <c r="B58" s="412"/>
      <c r="C58" s="137">
        <f>SUM(C49:C50,C51:C57)</f>
        <v>0.39800000000000008</v>
      </c>
      <c r="D58" s="138">
        <f>SUM(D49:D57)</f>
        <v>757.22415922034565</v>
      </c>
    </row>
    <row r="59" spans="1:4" ht="20.25" customHeight="1" x14ac:dyDescent="0.25">
      <c r="A59" s="583" t="s">
        <v>779</v>
      </c>
      <c r="B59" s="586"/>
      <c r="C59" s="141"/>
      <c r="D59" s="41"/>
    </row>
    <row r="60" spans="1:4" ht="8.1" customHeight="1" x14ac:dyDescent="0.25">
      <c r="A60" s="125"/>
      <c r="B60" s="33"/>
      <c r="C60" s="140"/>
      <c r="D60" s="127"/>
    </row>
    <row r="61" spans="1:4" ht="15.75" customHeight="1" x14ac:dyDescent="0.25">
      <c r="A61" s="581" t="s">
        <v>780</v>
      </c>
      <c r="B61" s="572"/>
      <c r="C61" s="182"/>
      <c r="D61" s="183" t="s">
        <v>734</v>
      </c>
    </row>
    <row r="62" spans="1:4" ht="15.75" customHeight="1" x14ac:dyDescent="0.25">
      <c r="A62" s="45" t="s">
        <v>781</v>
      </c>
      <c r="B62" s="46" t="s">
        <v>782</v>
      </c>
      <c r="C62" s="145"/>
      <c r="D62" s="138">
        <f>((C63*C64*C65)-D66)*C67</f>
        <v>125.97218181818182</v>
      </c>
    </row>
    <row r="63" spans="1:4" ht="15.75" customHeight="1" x14ac:dyDescent="0.25">
      <c r="A63" s="45" t="s">
        <v>783</v>
      </c>
      <c r="B63" s="46" t="s">
        <v>784</v>
      </c>
      <c r="C63" s="146">
        <f>'DADOS CCT'!D13</f>
        <v>5</v>
      </c>
      <c r="D63" s="28">
        <v>0</v>
      </c>
    </row>
    <row r="64" spans="1:4" ht="15.75" customHeight="1" x14ac:dyDescent="0.25">
      <c r="A64" s="45" t="s">
        <v>785</v>
      </c>
      <c r="B64" s="46" t="s">
        <v>786</v>
      </c>
      <c r="C64" s="28">
        <v>2</v>
      </c>
      <c r="D64" s="28">
        <v>0</v>
      </c>
    </row>
    <row r="65" spans="1:4" ht="15.75" customHeight="1" x14ac:dyDescent="0.25">
      <c r="A65" s="45" t="s">
        <v>787</v>
      </c>
      <c r="B65" s="46" t="s">
        <v>788</v>
      </c>
      <c r="C65" s="147">
        <f>C$18</f>
        <v>21</v>
      </c>
      <c r="D65" s="28">
        <v>0</v>
      </c>
    </row>
    <row r="66" spans="1:4" ht="15.75" customHeight="1" x14ac:dyDescent="0.25">
      <c r="A66" s="45" t="s">
        <v>789</v>
      </c>
      <c r="B66" s="46" t="s">
        <v>790</v>
      </c>
      <c r="C66" s="136">
        <v>0.06</v>
      </c>
      <c r="D66" s="28">
        <f>C66*D$28</f>
        <v>84.027818181818176</v>
      </c>
    </row>
    <row r="67" spans="1:4" ht="15.75" customHeight="1" x14ac:dyDescent="0.25">
      <c r="A67" s="45" t="s">
        <v>791</v>
      </c>
      <c r="B67" s="46" t="s">
        <v>792</v>
      </c>
      <c r="C67" s="144">
        <f>'DADOS CCT'!D14</f>
        <v>1</v>
      </c>
      <c r="D67" s="28">
        <v>0</v>
      </c>
    </row>
    <row r="68" spans="1:4" ht="15.75" customHeight="1" x14ac:dyDescent="0.25">
      <c r="A68" s="45" t="s">
        <v>793</v>
      </c>
      <c r="B68" s="46" t="s">
        <v>794</v>
      </c>
      <c r="C68" s="136"/>
      <c r="D68" s="138">
        <f>(C69*C70)-D71</f>
        <v>402.79679999999996</v>
      </c>
    </row>
    <row r="69" spans="1:4" ht="15.75" customHeight="1" x14ac:dyDescent="0.25">
      <c r="A69" s="45" t="s">
        <v>795</v>
      </c>
      <c r="B69" s="46" t="s">
        <v>796</v>
      </c>
      <c r="C69" s="146">
        <f>'DADOS CCT'!D15</f>
        <v>23.68</v>
      </c>
      <c r="D69" s="28">
        <v>0</v>
      </c>
    </row>
    <row r="70" spans="1:4" ht="15.75" customHeight="1" x14ac:dyDescent="0.25">
      <c r="A70" s="45" t="s">
        <v>797</v>
      </c>
      <c r="B70" s="46" t="s">
        <v>798</v>
      </c>
      <c r="C70" s="147">
        <f>C$18</f>
        <v>21</v>
      </c>
      <c r="D70" s="28">
        <v>0</v>
      </c>
    </row>
    <row r="71" spans="1:4" ht="15.75" customHeight="1" x14ac:dyDescent="0.25">
      <c r="A71" s="45" t="s">
        <v>799</v>
      </c>
      <c r="B71" s="46" t="s">
        <v>800</v>
      </c>
      <c r="C71" s="144">
        <f>'DADOS CCT'!D17</f>
        <v>0.19</v>
      </c>
      <c r="D71" s="28">
        <f>(C69*C70)*C71</f>
        <v>94.483199999999997</v>
      </c>
    </row>
    <row r="72" spans="1:4" ht="15.75" customHeight="1" x14ac:dyDescent="0.25">
      <c r="A72" s="45" t="s">
        <v>801</v>
      </c>
      <c r="B72" s="46" t="s">
        <v>802</v>
      </c>
      <c r="C72" s="136"/>
      <c r="D72" s="208">
        <f>'DADOS CCT'!D$18</f>
        <v>19.420000000000002</v>
      </c>
    </row>
    <row r="73" spans="1:4" ht="15.75" customHeight="1" x14ac:dyDescent="0.25">
      <c r="A73" s="45" t="s">
        <v>803</v>
      </c>
      <c r="B73" s="46" t="s">
        <v>804</v>
      </c>
      <c r="C73" s="136"/>
      <c r="D73" s="28">
        <v>0</v>
      </c>
    </row>
    <row r="74" spans="1:4" ht="15.75" customHeight="1" x14ac:dyDescent="0.25">
      <c r="A74" s="45" t="s">
        <v>805</v>
      </c>
      <c r="B74" s="46" t="s">
        <v>778</v>
      </c>
      <c r="C74" s="136"/>
      <c r="D74" s="28">
        <v>0</v>
      </c>
    </row>
    <row r="75" spans="1:4" ht="15.75" customHeight="1" x14ac:dyDescent="0.25">
      <c r="A75" s="582" t="s">
        <v>752</v>
      </c>
      <c r="B75" s="572"/>
      <c r="C75" s="184"/>
      <c r="D75" s="185">
        <f>SUM(D62,D68,D72:D74)</f>
        <v>548.18898181818179</v>
      </c>
    </row>
    <row r="76" spans="1:4" ht="38.25" customHeight="1" x14ac:dyDescent="0.25">
      <c r="A76" s="583" t="s">
        <v>1102</v>
      </c>
      <c r="B76" s="586"/>
      <c r="C76" s="40"/>
      <c r="D76" s="41"/>
    </row>
    <row r="77" spans="1:4" ht="8.1" customHeight="1" x14ac:dyDescent="0.25">
      <c r="A77" s="125"/>
      <c r="B77" s="33"/>
      <c r="C77" s="140"/>
      <c r="D77" s="127"/>
    </row>
    <row r="78" spans="1:4" ht="15.75" customHeight="1" x14ac:dyDescent="0.25">
      <c r="A78" s="581" t="s">
        <v>806</v>
      </c>
      <c r="B78" s="572"/>
      <c r="C78" s="182"/>
      <c r="D78" s="183" t="s">
        <v>734</v>
      </c>
    </row>
    <row r="79" spans="1:4" ht="15.75" customHeight="1" x14ac:dyDescent="0.25">
      <c r="A79" s="45" t="s">
        <v>807</v>
      </c>
      <c r="B79" s="46" t="s">
        <v>808</v>
      </c>
      <c r="C79" s="136"/>
      <c r="D79" s="28">
        <f>D45</f>
        <v>194.00762800909092</v>
      </c>
    </row>
    <row r="80" spans="1:4" ht="15.75" customHeight="1" x14ac:dyDescent="0.25">
      <c r="A80" s="45" t="s">
        <v>809</v>
      </c>
      <c r="B80" s="46" t="s">
        <v>810</v>
      </c>
      <c r="C80" s="28"/>
      <c r="D80" s="28">
        <f>D58</f>
        <v>757.22415922034565</v>
      </c>
    </row>
    <row r="81" spans="1:4" ht="15.75" customHeight="1" x14ac:dyDescent="0.25">
      <c r="A81" s="45" t="s">
        <v>811</v>
      </c>
      <c r="B81" s="46" t="s">
        <v>812</v>
      </c>
      <c r="C81" s="28"/>
      <c r="D81" s="28">
        <f>D75</f>
        <v>548.18898181818179</v>
      </c>
    </row>
    <row r="82" spans="1:4" ht="15.75" customHeight="1" thickBot="1" x14ac:dyDescent="0.3">
      <c r="A82" s="589" t="s">
        <v>752</v>
      </c>
      <c r="B82" s="590"/>
      <c r="C82" s="180"/>
      <c r="D82" s="181">
        <f>SUM(D79:D81)</f>
        <v>1499.4207690476183</v>
      </c>
    </row>
    <row r="83" spans="1:4" ht="8.1" customHeight="1" x14ac:dyDescent="0.25">
      <c r="A83" s="148"/>
      <c r="B83" s="149"/>
      <c r="C83" s="40"/>
      <c r="D83" s="41"/>
    </row>
    <row r="84" spans="1:4" ht="8.1" customHeight="1" thickBot="1" x14ac:dyDescent="0.3">
      <c r="A84" s="4"/>
      <c r="B84" s="1"/>
      <c r="C84" s="22"/>
      <c r="D84" s="6"/>
    </row>
    <row r="85" spans="1:4" ht="18" customHeight="1" x14ac:dyDescent="0.25">
      <c r="A85" s="591" t="s">
        <v>813</v>
      </c>
      <c r="B85" s="592"/>
      <c r="C85" s="12"/>
      <c r="D85" s="150" t="s">
        <v>734</v>
      </c>
    </row>
    <row r="86" spans="1:4" ht="15.75" customHeight="1" x14ac:dyDescent="0.25">
      <c r="A86" s="209" t="s">
        <v>814</v>
      </c>
      <c r="B86" s="210" t="s">
        <v>815</v>
      </c>
      <c r="C86" s="211">
        <v>0.05</v>
      </c>
      <c r="D86" s="212">
        <f>(D$33/$C$11)*C86*C89</f>
        <v>7.1190234848484852</v>
      </c>
    </row>
    <row r="87" spans="1:4" ht="15.75" customHeight="1" x14ac:dyDescent="0.25">
      <c r="A87" s="209" t="s">
        <v>816</v>
      </c>
      <c r="B87" s="210" t="s">
        <v>817</v>
      </c>
      <c r="C87" s="211">
        <f>C56</f>
        <v>0.08</v>
      </c>
      <c r="D87" s="212">
        <f>D86*C87</f>
        <v>0.56952187878787885</v>
      </c>
    </row>
    <row r="88" spans="1:4" ht="15.75" customHeight="1" x14ac:dyDescent="0.25">
      <c r="A88" s="209" t="s">
        <v>818</v>
      </c>
      <c r="B88" s="210" t="s">
        <v>819</v>
      </c>
      <c r="C88" s="211">
        <v>0.04</v>
      </c>
      <c r="D88" s="212">
        <f>D$33*C88</f>
        <v>68.342625454545455</v>
      </c>
    </row>
    <row r="89" spans="1:4" ht="15.75" customHeight="1" x14ac:dyDescent="0.25">
      <c r="A89" s="213" t="s">
        <v>820</v>
      </c>
      <c r="B89" s="214" t="s">
        <v>821</v>
      </c>
      <c r="C89" s="215">
        <v>1</v>
      </c>
      <c r="D89" s="216">
        <v>0</v>
      </c>
    </row>
    <row r="90" spans="1:4" ht="15.75" customHeight="1" x14ac:dyDescent="0.25">
      <c r="A90" s="18" t="s">
        <v>822</v>
      </c>
      <c r="B90" s="13" t="s">
        <v>823</v>
      </c>
      <c r="C90" s="15">
        <v>0.9</v>
      </c>
      <c r="D90" s="14">
        <f>(((D$33/30)*7)/12)*C90*C93</f>
        <v>29.899898636363641</v>
      </c>
    </row>
    <row r="91" spans="1:4" ht="15.75" customHeight="1" x14ac:dyDescent="0.25">
      <c r="A91" s="18" t="s">
        <v>820</v>
      </c>
      <c r="B91" s="13" t="s">
        <v>824</v>
      </c>
      <c r="C91" s="15">
        <f>C58</f>
        <v>0.39800000000000008</v>
      </c>
      <c r="D91" s="14">
        <f>D90*C91</f>
        <v>11.900159657272731</v>
      </c>
    </row>
    <row r="92" spans="1:4" ht="15.75" customHeight="1" x14ac:dyDescent="0.25">
      <c r="A92" s="18" t="s">
        <v>822</v>
      </c>
      <c r="B92" s="13" t="s">
        <v>825</v>
      </c>
      <c r="C92" s="17">
        <v>3.8080000000000003E-2</v>
      </c>
      <c r="D92" s="14">
        <f>D$33*C92</f>
        <v>65.062179432727277</v>
      </c>
    </row>
    <row r="93" spans="1:4" ht="15.75" customHeight="1" x14ac:dyDescent="0.25">
      <c r="A93" s="66" t="s">
        <v>826</v>
      </c>
      <c r="B93" s="34" t="s">
        <v>827</v>
      </c>
      <c r="C93" s="67">
        <v>1</v>
      </c>
      <c r="D93" s="35">
        <v>0</v>
      </c>
    </row>
    <row r="94" spans="1:4" ht="15.75" customHeight="1" thickBot="1" x14ac:dyDescent="0.3">
      <c r="A94" s="593" t="s">
        <v>752</v>
      </c>
      <c r="B94" s="594"/>
      <c r="C94" s="172"/>
      <c r="D94" s="173">
        <f>SUM(D86:D88,D90:D92)</f>
        <v>182.89340854454548</v>
      </c>
    </row>
    <row r="95" spans="1:4" ht="58.5" customHeight="1" x14ac:dyDescent="0.25">
      <c r="A95" s="577" t="s">
        <v>828</v>
      </c>
      <c r="B95" s="578"/>
      <c r="C95" s="3"/>
      <c r="D95" s="41"/>
    </row>
    <row r="96" spans="1:4" ht="15.95" customHeight="1" thickBot="1" x14ac:dyDescent="0.3">
      <c r="A96" s="4"/>
      <c r="B96" s="1"/>
      <c r="C96" s="22"/>
      <c r="D96" s="6"/>
    </row>
    <row r="97" spans="1:4" ht="18" customHeight="1" x14ac:dyDescent="0.25">
      <c r="A97" s="591" t="s">
        <v>829</v>
      </c>
      <c r="B97" s="592"/>
      <c r="C97" s="12"/>
      <c r="D97" s="150" t="s">
        <v>734</v>
      </c>
    </row>
    <row r="98" spans="1:4" ht="8.1" customHeight="1" x14ac:dyDescent="0.25">
      <c r="A98" s="7"/>
      <c r="C98" s="8"/>
      <c r="D98" s="127"/>
    </row>
    <row r="99" spans="1:4" ht="15.75" customHeight="1" x14ac:dyDescent="0.25">
      <c r="A99" s="587" t="s">
        <v>830</v>
      </c>
      <c r="B99" s="588"/>
      <c r="C99" s="151"/>
      <c r="D99" s="152">
        <f>SUM(D33,D45,D102)</f>
        <v>2057.6255958727274</v>
      </c>
    </row>
    <row r="100" spans="1:4" ht="8.1" customHeight="1" x14ac:dyDescent="0.25">
      <c r="A100" s="7"/>
      <c r="C100" s="8"/>
      <c r="D100" s="127"/>
    </row>
    <row r="101" spans="1:4" ht="15.75" customHeight="1" x14ac:dyDescent="0.25">
      <c r="A101" s="587" t="s">
        <v>831</v>
      </c>
      <c r="B101" s="588"/>
      <c r="C101" s="151"/>
      <c r="D101" s="152" t="s">
        <v>734</v>
      </c>
    </row>
    <row r="102" spans="1:4" ht="15.75" customHeight="1" x14ac:dyDescent="0.25">
      <c r="A102" s="18" t="s">
        <v>832</v>
      </c>
      <c r="B102" s="13" t="s">
        <v>833</v>
      </c>
      <c r="C102" s="17">
        <v>9.0749999999999997E-2</v>
      </c>
      <c r="D102" s="14">
        <f>D$33*C102</f>
        <v>155.05233150000001</v>
      </c>
    </row>
    <row r="103" spans="1:4" ht="15.75" customHeight="1" x14ac:dyDescent="0.25">
      <c r="A103" s="18" t="s">
        <v>834</v>
      </c>
      <c r="B103" s="13" t="s">
        <v>835</v>
      </c>
      <c r="C103" s="14">
        <v>1</v>
      </c>
      <c r="D103" s="14">
        <f>((D99/30)*C103)/12</f>
        <v>5.7156266552020201</v>
      </c>
    </row>
    <row r="104" spans="1:4" ht="15.75" customHeight="1" x14ac:dyDescent="0.25">
      <c r="A104" s="18" t="s">
        <v>836</v>
      </c>
      <c r="B104" s="13" t="s">
        <v>837</v>
      </c>
      <c r="C104" s="15">
        <v>1.4999999999999999E-2</v>
      </c>
      <c r="D104" s="14">
        <f>((D99/30)*5/12)*C104</f>
        <v>0.42867199914015153</v>
      </c>
    </row>
    <row r="105" spans="1:4" ht="15.75" customHeight="1" x14ac:dyDescent="0.25">
      <c r="A105" s="18" t="s">
        <v>838</v>
      </c>
      <c r="B105" s="13" t="s">
        <v>839</v>
      </c>
      <c r="C105" s="15">
        <v>7.7999999999999996E-3</v>
      </c>
      <c r="D105" s="14">
        <f>((D99/30)*15/12)*C105</f>
        <v>0.66872831865863636</v>
      </c>
    </row>
    <row r="106" spans="1:4" ht="15.75" customHeight="1" x14ac:dyDescent="0.25">
      <c r="A106" s="18" t="s">
        <v>840</v>
      </c>
      <c r="B106" s="13" t="s">
        <v>841</v>
      </c>
      <c r="C106" s="15">
        <v>0.02</v>
      </c>
      <c r="D106" s="14">
        <f>(((D33+(D33/3))/12)*(4/12))*C106</f>
        <v>1.2656041750841751</v>
      </c>
    </row>
    <row r="107" spans="1:4" ht="15.75" customHeight="1" x14ac:dyDescent="0.25">
      <c r="A107" s="18" t="s">
        <v>842</v>
      </c>
      <c r="B107" s="13" t="s">
        <v>843</v>
      </c>
      <c r="C107" s="14">
        <v>3</v>
      </c>
      <c r="D107" s="14">
        <f>((D99/30)*C107)/12</f>
        <v>17.146879965606061</v>
      </c>
    </row>
    <row r="108" spans="1:4" ht="15.75" customHeight="1" x14ac:dyDescent="0.25">
      <c r="A108" s="18" t="s">
        <v>844</v>
      </c>
      <c r="B108" s="13" t="s">
        <v>845</v>
      </c>
      <c r="C108" s="14"/>
      <c r="D108" s="14">
        <f>((D99/30)*C108)/12</f>
        <v>0</v>
      </c>
    </row>
    <row r="109" spans="1:4" ht="15.75" customHeight="1" x14ac:dyDescent="0.25">
      <c r="A109" s="595" t="s">
        <v>752</v>
      </c>
      <c r="B109" s="588"/>
      <c r="C109" s="175"/>
      <c r="D109" s="44">
        <f>SUM(D102:D107)</f>
        <v>180.27784261369106</v>
      </c>
    </row>
    <row r="110" spans="1:4" ht="15.75" customHeight="1" x14ac:dyDescent="0.25">
      <c r="A110" s="18" t="s">
        <v>846</v>
      </c>
      <c r="B110" s="13" t="s">
        <v>847</v>
      </c>
      <c r="C110" s="15">
        <f>C58</f>
        <v>0.39800000000000008</v>
      </c>
      <c r="D110" s="14">
        <f>D109*C110</f>
        <v>71.750581360249058</v>
      </c>
    </row>
    <row r="111" spans="1:4" ht="15.75" customHeight="1" x14ac:dyDescent="0.25">
      <c r="A111" s="596" t="s">
        <v>752</v>
      </c>
      <c r="B111" s="588"/>
      <c r="C111" s="179"/>
      <c r="D111" s="178">
        <f>SUM(D109:D110)</f>
        <v>252.02842397394011</v>
      </c>
    </row>
    <row r="112" spans="1:4" ht="61.5" customHeight="1" x14ac:dyDescent="0.25">
      <c r="A112" s="577" t="s">
        <v>848</v>
      </c>
      <c r="B112" s="578"/>
      <c r="C112" s="3"/>
      <c r="D112" s="41"/>
    </row>
    <row r="113" spans="1:4" ht="8.1" customHeight="1" x14ac:dyDescent="0.25">
      <c r="A113" s="125"/>
      <c r="B113" s="42"/>
      <c r="C113" s="140"/>
      <c r="D113" s="127"/>
    </row>
    <row r="114" spans="1:4" ht="15.75" customHeight="1" x14ac:dyDescent="0.25">
      <c r="A114" s="587" t="s">
        <v>849</v>
      </c>
      <c r="B114" s="588"/>
      <c r="C114" s="151"/>
      <c r="D114" s="152" t="s">
        <v>734</v>
      </c>
    </row>
    <row r="115" spans="1:4" ht="15.75" customHeight="1" x14ac:dyDescent="0.25">
      <c r="A115" s="18" t="s">
        <v>850</v>
      </c>
      <c r="B115" s="13" t="s">
        <v>851</v>
      </c>
      <c r="C115" s="14">
        <v>0</v>
      </c>
      <c r="D115" s="14">
        <f>((D$37+D$82)/C$28)*C115*C$18</f>
        <v>0</v>
      </c>
    </row>
    <row r="116" spans="1:4" ht="15.75" customHeight="1" x14ac:dyDescent="0.25">
      <c r="A116" s="18" t="s">
        <v>852</v>
      </c>
      <c r="B116" s="13" t="s">
        <v>853</v>
      </c>
      <c r="C116" s="15">
        <f>C58</f>
        <v>0.39800000000000008</v>
      </c>
      <c r="D116" s="14">
        <f>D115*C116</f>
        <v>0</v>
      </c>
    </row>
    <row r="117" spans="1:4" ht="15.75" customHeight="1" x14ac:dyDescent="0.25">
      <c r="A117" s="596" t="s">
        <v>752</v>
      </c>
      <c r="B117" s="588"/>
      <c r="C117" s="177"/>
      <c r="D117" s="178">
        <f>SUM(D115:D116)</f>
        <v>0</v>
      </c>
    </row>
    <row r="118" spans="1:4" ht="8.1" customHeight="1" x14ac:dyDescent="0.25">
      <c r="A118" s="577"/>
      <c r="B118" s="578"/>
      <c r="C118" s="3"/>
      <c r="D118" s="41"/>
    </row>
    <row r="119" spans="1:4" ht="8.1" customHeight="1" x14ac:dyDescent="0.25">
      <c r="A119" s="7"/>
      <c r="C119" s="20"/>
      <c r="D119" s="127"/>
    </row>
    <row r="120" spans="1:4" ht="15.75" customHeight="1" x14ac:dyDescent="0.25">
      <c r="A120" s="587" t="s">
        <v>854</v>
      </c>
      <c r="B120" s="588"/>
      <c r="C120" s="151"/>
      <c r="D120" s="152" t="s">
        <v>734</v>
      </c>
    </row>
    <row r="121" spans="1:4" ht="15.75" customHeight="1" x14ac:dyDescent="0.25">
      <c r="A121" s="18" t="s">
        <v>855</v>
      </c>
      <c r="B121" s="13" t="s">
        <v>856</v>
      </c>
      <c r="C121" s="15"/>
      <c r="D121" s="14">
        <f>D111</f>
        <v>252.02842397394011</v>
      </c>
    </row>
    <row r="122" spans="1:4" ht="15.75" customHeight="1" x14ac:dyDescent="0.25">
      <c r="A122" s="18" t="s">
        <v>857</v>
      </c>
      <c r="B122" s="13" t="s">
        <v>858</v>
      </c>
      <c r="C122" s="14"/>
      <c r="D122" s="14">
        <f>D117</f>
        <v>0</v>
      </c>
    </row>
    <row r="123" spans="1:4" ht="15.75" customHeight="1" thickBot="1" x14ac:dyDescent="0.3">
      <c r="A123" s="593" t="s">
        <v>752</v>
      </c>
      <c r="B123" s="594"/>
      <c r="C123" s="172"/>
      <c r="D123" s="173">
        <f>SUM(D121:D122)</f>
        <v>252.02842397394011</v>
      </c>
    </row>
    <row r="124" spans="1:4" ht="8.1" customHeight="1" x14ac:dyDescent="0.25">
      <c r="A124" s="153"/>
      <c r="B124" s="154"/>
      <c r="C124" s="155"/>
      <c r="D124" s="156"/>
    </row>
    <row r="125" spans="1:4" ht="8.1" customHeight="1" thickBot="1" x14ac:dyDescent="0.3">
      <c r="A125" s="125"/>
      <c r="B125" s="42"/>
      <c r="C125" s="140"/>
      <c r="D125" s="127"/>
    </row>
    <row r="126" spans="1:4" ht="18" customHeight="1" x14ac:dyDescent="0.25">
      <c r="A126" s="591" t="s">
        <v>859</v>
      </c>
      <c r="B126" s="592"/>
      <c r="C126" s="12"/>
      <c r="D126" s="150" t="s">
        <v>734</v>
      </c>
    </row>
    <row r="127" spans="1:4" ht="15.75" customHeight="1" x14ac:dyDescent="0.25">
      <c r="A127" s="174" t="s">
        <v>860</v>
      </c>
      <c r="B127" s="175" t="s">
        <v>861</v>
      </c>
      <c r="C127" s="176"/>
      <c r="D127" s="44">
        <f>tbUNIFORMESL[[#Totals],[VL. MENSAL]]</f>
        <v>167.72833333333332</v>
      </c>
    </row>
    <row r="128" spans="1:4" ht="15.75" customHeight="1" x14ac:dyDescent="0.25">
      <c r="A128" s="174" t="s">
        <v>862</v>
      </c>
      <c r="B128" s="175" t="s">
        <v>863</v>
      </c>
      <c r="C128" s="176"/>
      <c r="D128" s="44">
        <v>0</v>
      </c>
    </row>
    <row r="129" spans="1:4" ht="15.75" customHeight="1" x14ac:dyDescent="0.25">
      <c r="A129" s="174" t="s">
        <v>864</v>
      </c>
      <c r="B129" s="175" t="s">
        <v>865</v>
      </c>
      <c r="C129" s="176"/>
      <c r="D129" s="44">
        <v>0</v>
      </c>
    </row>
    <row r="130" spans="1:4" ht="15.75" customHeight="1" x14ac:dyDescent="0.25">
      <c r="A130" s="174" t="s">
        <v>866</v>
      </c>
      <c r="B130" s="175" t="s">
        <v>867</v>
      </c>
      <c r="C130" s="176"/>
      <c r="D130" s="44">
        <v>0</v>
      </c>
    </row>
    <row r="131" spans="1:4" ht="15.75" customHeight="1" thickBot="1" x14ac:dyDescent="0.3">
      <c r="A131" s="593" t="s">
        <v>752</v>
      </c>
      <c r="B131" s="594"/>
      <c r="C131" s="172"/>
      <c r="D131" s="173">
        <f>SUM(D127:D130)</f>
        <v>167.72833333333332</v>
      </c>
    </row>
    <row r="132" spans="1:4" ht="15.95" customHeight="1" thickBot="1" x14ac:dyDescent="0.3">
      <c r="A132" s="4"/>
      <c r="B132" s="1"/>
      <c r="C132" s="22"/>
      <c r="D132" s="6"/>
    </row>
    <row r="133" spans="1:4" ht="18" customHeight="1" x14ac:dyDescent="0.25">
      <c r="A133" s="591" t="s">
        <v>868</v>
      </c>
      <c r="B133" s="592"/>
      <c r="C133" s="12"/>
      <c r="D133" s="150" t="s">
        <v>734</v>
      </c>
    </row>
    <row r="134" spans="1:4" ht="8.1" customHeight="1" x14ac:dyDescent="0.25">
      <c r="A134" s="7"/>
      <c r="C134" s="8"/>
      <c r="D134" s="127"/>
    </row>
    <row r="135" spans="1:4" ht="15.75" customHeight="1" x14ac:dyDescent="0.25">
      <c r="A135" s="587" t="s">
        <v>869</v>
      </c>
      <c r="B135" s="588"/>
      <c r="C135" s="151"/>
      <c r="D135" s="152">
        <f>SUM(D37,D82,D94,D123,D131)</f>
        <v>3810.6365712630741</v>
      </c>
    </row>
    <row r="136" spans="1:4" ht="8.1" customHeight="1" x14ac:dyDescent="0.25">
      <c r="A136" s="7"/>
      <c r="C136" s="8"/>
      <c r="D136" s="127"/>
    </row>
    <row r="137" spans="1:4" ht="15.75" customHeight="1" x14ac:dyDescent="0.25">
      <c r="A137" s="66" t="s">
        <v>870</v>
      </c>
      <c r="B137" s="34" t="s">
        <v>871</v>
      </c>
      <c r="C137" s="67">
        <v>0.05</v>
      </c>
      <c r="D137" s="35">
        <f>D$135*C137</f>
        <v>190.53182856315371</v>
      </c>
    </row>
    <row r="138" spans="1:4" ht="15.75" customHeight="1" x14ac:dyDescent="0.25">
      <c r="A138" s="66" t="s">
        <v>872</v>
      </c>
      <c r="B138" s="34" t="s">
        <v>873</v>
      </c>
      <c r="C138" s="67">
        <v>0.1</v>
      </c>
      <c r="D138" s="35">
        <f>SUM(D135,D137)*C138</f>
        <v>400.11683998262282</v>
      </c>
    </row>
    <row r="139" spans="1:4" ht="8.1" customHeight="1" x14ac:dyDescent="0.25">
      <c r="A139" s="7"/>
      <c r="C139" s="8"/>
      <c r="D139" s="127"/>
    </row>
    <row r="140" spans="1:4" ht="15.75" customHeight="1" x14ac:dyDescent="0.25">
      <c r="A140" s="587" t="s">
        <v>874</v>
      </c>
      <c r="B140" s="588"/>
      <c r="C140" s="151"/>
      <c r="D140" s="152">
        <f>SUM(D135,D137:D138)</f>
        <v>4401.2852398088507</v>
      </c>
    </row>
    <row r="141" spans="1:4" ht="8.1" customHeight="1" x14ac:dyDescent="0.25">
      <c r="A141" s="7"/>
      <c r="C141" s="8"/>
      <c r="D141" s="127"/>
    </row>
    <row r="142" spans="1:4" ht="15.75" customHeight="1" x14ac:dyDescent="0.25">
      <c r="A142" s="18" t="s">
        <v>875</v>
      </c>
      <c r="B142" s="13" t="s">
        <v>876</v>
      </c>
      <c r="C142" s="19">
        <f>'DADOS CCT'!D21</f>
        <v>7.5999999999999998E-2</v>
      </c>
      <c r="D142" s="14">
        <f>(D$140/(1-C$146))*C142</f>
        <v>385.58810170083308</v>
      </c>
    </row>
    <row r="143" spans="1:4" ht="15.75" customHeight="1" x14ac:dyDescent="0.25">
      <c r="A143" s="18" t="s">
        <v>877</v>
      </c>
      <c r="B143" s="13" t="s">
        <v>878</v>
      </c>
      <c r="C143" s="19">
        <f>'DADOS CCT'!D20</f>
        <v>1.6500000000000001E-2</v>
      </c>
      <c r="D143" s="14">
        <f>(D$140/(1-C$146))*C143</f>
        <v>83.713206290312456</v>
      </c>
    </row>
    <row r="144" spans="1:4" ht="15.75" customHeight="1" x14ac:dyDescent="0.25">
      <c r="A144" s="18" t="s">
        <v>879</v>
      </c>
      <c r="B144" s="13" t="s">
        <v>880</v>
      </c>
      <c r="C144" s="15"/>
      <c r="D144" s="14">
        <f>(D$140/(1-C$146))*C144</f>
        <v>0</v>
      </c>
    </row>
    <row r="145" spans="1:4" ht="15.75" customHeight="1" x14ac:dyDescent="0.25">
      <c r="A145" s="18" t="s">
        <v>881</v>
      </c>
      <c r="B145" s="13" t="s">
        <v>882</v>
      </c>
      <c r="C145" s="19">
        <f>'DADOS CCT'!D19</f>
        <v>0.04</v>
      </c>
      <c r="D145" s="14">
        <f>(D$140/(1-C$146))*C145</f>
        <v>202.94110615833321</v>
      </c>
    </row>
    <row r="146" spans="1:4" ht="15.75" customHeight="1" thickBot="1" x14ac:dyDescent="0.3">
      <c r="A146" s="599" t="s">
        <v>752</v>
      </c>
      <c r="B146" s="600"/>
      <c r="C146" s="43">
        <f>SUM(C142:C145)</f>
        <v>0.13250000000000001</v>
      </c>
      <c r="D146" s="39">
        <f>SUM(D137:D138,D142:D145)</f>
        <v>1262.8910826952554</v>
      </c>
    </row>
    <row r="147" spans="1:4" ht="15.95" customHeight="1" thickBot="1" x14ac:dyDescent="0.3">
      <c r="A147" s="4"/>
      <c r="B147" s="1"/>
      <c r="C147" s="22"/>
      <c r="D147" s="6"/>
    </row>
    <row r="148" spans="1:4" ht="18" customHeight="1" x14ac:dyDescent="0.25">
      <c r="A148" s="601" t="s">
        <v>883</v>
      </c>
      <c r="B148" s="602"/>
      <c r="C148" s="170"/>
      <c r="D148" s="171" t="s">
        <v>734</v>
      </c>
    </row>
    <row r="149" spans="1:4" ht="15.75" customHeight="1" x14ac:dyDescent="0.25">
      <c r="A149" s="45"/>
      <c r="B149" s="46" t="s">
        <v>884</v>
      </c>
      <c r="C149" s="136"/>
      <c r="D149" s="28">
        <f>D37</f>
        <v>1708.5656363636365</v>
      </c>
    </row>
    <row r="150" spans="1:4" ht="15.75" customHeight="1" x14ac:dyDescent="0.25">
      <c r="A150" s="45"/>
      <c r="B150" s="46" t="s">
        <v>885</v>
      </c>
      <c r="C150" s="136"/>
      <c r="D150" s="28">
        <f>D82</f>
        <v>1499.4207690476183</v>
      </c>
    </row>
    <row r="151" spans="1:4" ht="15.75" customHeight="1" x14ac:dyDescent="0.25">
      <c r="A151" s="45"/>
      <c r="B151" s="46" t="s">
        <v>886</v>
      </c>
      <c r="C151" s="143"/>
      <c r="D151" s="28">
        <f>D94</f>
        <v>182.89340854454548</v>
      </c>
    </row>
    <row r="152" spans="1:4" ht="15.75" customHeight="1" x14ac:dyDescent="0.25">
      <c r="A152" s="45"/>
      <c r="B152" s="46" t="s">
        <v>887</v>
      </c>
      <c r="C152" s="136"/>
      <c r="D152" s="28">
        <f>D123</f>
        <v>252.02842397394011</v>
      </c>
    </row>
    <row r="153" spans="1:4" ht="15.75" customHeight="1" x14ac:dyDescent="0.25">
      <c r="A153" s="45"/>
      <c r="B153" s="46" t="s">
        <v>888</v>
      </c>
      <c r="C153" s="136"/>
      <c r="D153" s="28">
        <f>D131</f>
        <v>167.72833333333332</v>
      </c>
    </row>
    <row r="154" spans="1:4" ht="15.75" customHeight="1" x14ac:dyDescent="0.25">
      <c r="A154" s="585" t="s">
        <v>752</v>
      </c>
      <c r="B154" s="412"/>
      <c r="C154" s="137"/>
      <c r="D154" s="138">
        <f>SUM(D149:D153)</f>
        <v>3810.6365712630741</v>
      </c>
    </row>
    <row r="155" spans="1:4" ht="15.75" customHeight="1" x14ac:dyDescent="0.25">
      <c r="A155" s="45"/>
      <c r="B155" s="46" t="s">
        <v>889</v>
      </c>
      <c r="C155" s="143"/>
      <c r="D155" s="28">
        <f>D146</f>
        <v>1262.8910826952554</v>
      </c>
    </row>
    <row r="156" spans="1:4" ht="15.75" customHeight="1" thickBot="1" x14ac:dyDescent="0.35">
      <c r="A156" s="603" t="s">
        <v>890</v>
      </c>
      <c r="B156" s="604"/>
      <c r="C156" s="168"/>
      <c r="D156" s="169">
        <f>TRUNC(SUM(D154:D155),2)</f>
        <v>5073.5200000000004</v>
      </c>
    </row>
    <row r="157" spans="1:4" ht="8.1" customHeight="1" thickBot="1" x14ac:dyDescent="0.3">
      <c r="A157" s="9"/>
      <c r="B157" s="10"/>
      <c r="C157" s="21"/>
      <c r="D157" s="11"/>
    </row>
    <row r="158" spans="1:4" ht="15.75" customHeight="1" thickBot="1" x14ac:dyDescent="0.3">
      <c r="A158" s="605" t="s">
        <v>891</v>
      </c>
      <c r="B158" s="470"/>
      <c r="C158" s="166"/>
      <c r="D158" s="167">
        <v>1</v>
      </c>
    </row>
    <row r="159" spans="1:4" ht="8.1" customHeight="1" thickBot="1" x14ac:dyDescent="0.3">
      <c r="A159" s="9"/>
      <c r="B159" s="10"/>
      <c r="C159" s="21"/>
      <c r="D159" s="11"/>
    </row>
    <row r="160" spans="1:4" ht="15.75" customHeight="1" thickBot="1" x14ac:dyDescent="0.35">
      <c r="A160" s="597" t="s">
        <v>892</v>
      </c>
      <c r="B160" s="598"/>
      <c r="C160" s="164"/>
      <c r="D160" s="165">
        <f>TRUNC(D156*D158,2)</f>
        <v>5073.5200000000004</v>
      </c>
    </row>
    <row r="161" spans="1:4" ht="15.95" customHeight="1" thickBot="1" x14ac:dyDescent="0.3"/>
    <row r="162" spans="1:4" ht="15.75" customHeight="1" thickBot="1" x14ac:dyDescent="0.35">
      <c r="A162" s="561" t="s">
        <v>893</v>
      </c>
      <c r="B162" s="562"/>
      <c r="C162" s="162"/>
      <c r="D162" s="163">
        <f>D156/D37</f>
        <v>2.9694615717532762</v>
      </c>
    </row>
    <row r="163" spans="1:4" ht="15.95" customHeight="1" thickBot="1" x14ac:dyDescent="0.3">
      <c r="A163" s="33"/>
      <c r="B163" s="33"/>
      <c r="C163" s="33"/>
    </row>
    <row r="164" spans="1:4" ht="15.75" customHeight="1" x14ac:dyDescent="0.3">
      <c r="A164" s="551" t="s">
        <v>894</v>
      </c>
      <c r="B164" s="551"/>
      <c r="C164" s="160"/>
      <c r="D164" s="161"/>
    </row>
    <row r="165" spans="1:4" ht="15" customHeight="1" thickBot="1" x14ac:dyDescent="0.3">
      <c r="A165" s="157"/>
      <c r="B165" s="157" t="s">
        <v>895</v>
      </c>
      <c r="C165" s="157"/>
      <c r="D165" s="158">
        <f>TRUNC(D156/C$18,2)</f>
        <v>241.59</v>
      </c>
    </row>
  </sheetData>
  <mergeCells count="65">
    <mergeCell ref="A160:B160"/>
    <mergeCell ref="A140:B140"/>
    <mergeCell ref="A146:B146"/>
    <mergeCell ref="A148:B148"/>
    <mergeCell ref="A154:B154"/>
    <mergeCell ref="A156:B156"/>
    <mergeCell ref="A158:B158"/>
    <mergeCell ref="A135:B135"/>
    <mergeCell ref="A109:B109"/>
    <mergeCell ref="A111:B111"/>
    <mergeCell ref="A112:B112"/>
    <mergeCell ref="A114:B114"/>
    <mergeCell ref="A117:B117"/>
    <mergeCell ref="A118:B118"/>
    <mergeCell ref="A120:B120"/>
    <mergeCell ref="A123:B123"/>
    <mergeCell ref="A126:B126"/>
    <mergeCell ref="A131:B131"/>
    <mergeCell ref="A133:B133"/>
    <mergeCell ref="A46:B46"/>
    <mergeCell ref="A48:B48"/>
    <mergeCell ref="A58:B58"/>
    <mergeCell ref="A59:B59"/>
    <mergeCell ref="A101:B101"/>
    <mergeCell ref="A61:B61"/>
    <mergeCell ref="A75:B75"/>
    <mergeCell ref="A76:B76"/>
    <mergeCell ref="A78:B78"/>
    <mergeCell ref="A82:B82"/>
    <mergeCell ref="A85:B85"/>
    <mergeCell ref="A94:B94"/>
    <mergeCell ref="A95:B95"/>
    <mergeCell ref="A97:B97"/>
    <mergeCell ref="A99:B99"/>
    <mergeCell ref="A37:B37"/>
    <mergeCell ref="A38:B38"/>
    <mergeCell ref="A40:B40"/>
    <mergeCell ref="A42:B42"/>
    <mergeCell ref="A45:B45"/>
    <mergeCell ref="A7:B7"/>
    <mergeCell ref="A25:B25"/>
    <mergeCell ref="C25:D25"/>
    <mergeCell ref="A27:B27"/>
    <mergeCell ref="A33:B33"/>
    <mergeCell ref="C20:D20"/>
    <mergeCell ref="C21:D21"/>
    <mergeCell ref="C22:D22"/>
    <mergeCell ref="C23:D23"/>
    <mergeCell ref="C16:D16"/>
    <mergeCell ref="A164:B164"/>
    <mergeCell ref="C3:D3"/>
    <mergeCell ref="C4:D4"/>
    <mergeCell ref="C5:D5"/>
    <mergeCell ref="C8:D8"/>
    <mergeCell ref="C9:D9"/>
    <mergeCell ref="C10:D10"/>
    <mergeCell ref="C11:D11"/>
    <mergeCell ref="C12:D12"/>
    <mergeCell ref="C13:D13"/>
    <mergeCell ref="C14:D14"/>
    <mergeCell ref="C15:D15"/>
    <mergeCell ref="C17:D17"/>
    <mergeCell ref="C18:D18"/>
    <mergeCell ref="C19:D19"/>
    <mergeCell ref="A162:B162"/>
  </mergeCells>
  <pageMargins left="0.70866141732283472" right="0.70866141732283472" top="0.74803149606299213" bottom="0.74803149606299213" header="0" footer="0"/>
  <pageSetup paperSize="9" scale="80" fitToHeight="0" orientation="portrait" r:id="rId1"/>
  <rowBreaks count="4" manualBreakCount="4">
    <brk id="38" max="3" man="1"/>
    <brk id="83" max="3" man="1"/>
    <brk id="90" max="16383" man="1"/>
    <brk id="124" max="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E04E1-44EE-4703-B3EE-957838A20850}">
  <sheetPr>
    <tabColor theme="4" tint="0.79998168889431442"/>
    <outlinePr summaryBelow="0"/>
    <pageSetUpPr fitToPage="1"/>
  </sheetPr>
  <dimension ref="A1:D165"/>
  <sheetViews>
    <sheetView workbookViewId="0"/>
  </sheetViews>
  <sheetFormatPr defaultColWidth="14.42578125" defaultRowHeight="15" customHeight="1" x14ac:dyDescent="0.25"/>
  <cols>
    <col min="1" max="1" width="6.7109375" customWidth="1"/>
    <col min="2" max="2" width="64.7109375" customWidth="1"/>
    <col min="3" max="3" width="20.140625" customWidth="1"/>
    <col min="4" max="4" width="18.7109375" style="33" customWidth="1"/>
    <col min="5" max="16384" width="14.42578125" style="159"/>
  </cols>
  <sheetData>
    <row r="1" spans="1:4" ht="40.5" customHeight="1" x14ac:dyDescent="0.25">
      <c r="A1" s="38"/>
      <c r="B1" s="313" t="s">
        <v>692</v>
      </c>
      <c r="C1" s="37"/>
      <c r="D1" s="37"/>
    </row>
    <row r="2" spans="1:4" ht="15.95" customHeight="1" thickBot="1" x14ac:dyDescent="0.3">
      <c r="A2" s="125"/>
      <c r="B2" s="42"/>
      <c r="C2" s="126"/>
      <c r="D2" s="127"/>
    </row>
    <row r="3" spans="1:4" ht="15" customHeight="1" x14ac:dyDescent="0.25">
      <c r="A3" s="192"/>
      <c r="B3" s="314" t="s">
        <v>693</v>
      </c>
      <c r="C3" s="552"/>
      <c r="D3" s="552"/>
    </row>
    <row r="4" spans="1:4" ht="15" customHeight="1" x14ac:dyDescent="0.25">
      <c r="A4" s="193"/>
      <c r="B4" s="274" t="s">
        <v>694</v>
      </c>
      <c r="C4" s="553"/>
      <c r="D4" s="553"/>
    </row>
    <row r="5" spans="1:4" ht="15.75" customHeight="1" thickBot="1" x14ac:dyDescent="0.3">
      <c r="A5" s="194"/>
      <c r="B5" s="195" t="s">
        <v>695</v>
      </c>
      <c r="C5" s="554"/>
      <c r="D5" s="554"/>
    </row>
    <row r="6" spans="1:4" ht="15.95" customHeight="1" thickBot="1" x14ac:dyDescent="0.3">
      <c r="A6" s="125"/>
      <c r="B6" s="42"/>
      <c r="C6" s="126"/>
      <c r="D6" s="127"/>
    </row>
    <row r="7" spans="1:4" ht="15" customHeight="1" x14ac:dyDescent="0.25">
      <c r="A7" s="563" t="s">
        <v>696</v>
      </c>
      <c r="B7" s="564"/>
      <c r="C7" s="128"/>
      <c r="D7" s="129"/>
    </row>
    <row r="8" spans="1:4" ht="15" customHeight="1" x14ac:dyDescent="0.25">
      <c r="A8" s="45" t="s">
        <v>697</v>
      </c>
      <c r="B8" s="263" t="s">
        <v>698</v>
      </c>
      <c r="C8" s="555"/>
      <c r="D8" s="555"/>
    </row>
    <row r="9" spans="1:4" ht="15" customHeight="1" x14ac:dyDescent="0.25">
      <c r="A9" s="45" t="s">
        <v>699</v>
      </c>
      <c r="B9" s="263" t="s">
        <v>700</v>
      </c>
      <c r="C9" s="555" t="str">
        <f>'DADOS CCT'!B4</f>
        <v>SANTA MARIA</v>
      </c>
      <c r="D9" s="555"/>
    </row>
    <row r="10" spans="1:4" ht="15" customHeight="1" x14ac:dyDescent="0.25">
      <c r="A10" s="45" t="s">
        <v>701</v>
      </c>
      <c r="B10" s="263" t="s">
        <v>702</v>
      </c>
      <c r="C10" s="555" t="str">
        <f>'DADOS CCT'!C4&amp;" - "&amp;'DADOS CCT'!D5</f>
        <v>SINTEPS/RS - RS000042/2024</v>
      </c>
      <c r="D10" s="555"/>
    </row>
    <row r="11" spans="1:4" ht="15" customHeight="1" x14ac:dyDescent="0.25">
      <c r="A11" s="45" t="s">
        <v>703</v>
      </c>
      <c r="B11" s="263" t="s">
        <v>704</v>
      </c>
      <c r="C11" s="556">
        <v>12</v>
      </c>
      <c r="D11" s="556"/>
    </row>
    <row r="12" spans="1:4" ht="15" customHeight="1" x14ac:dyDescent="0.25">
      <c r="A12" s="45" t="s">
        <v>705</v>
      </c>
      <c r="B12" s="263" t="s">
        <v>706</v>
      </c>
      <c r="C12" s="557">
        <f>'DADOS CCT'!D6</f>
        <v>45292</v>
      </c>
      <c r="D12" s="557"/>
    </row>
    <row r="13" spans="1:4" ht="29.25" customHeight="1" x14ac:dyDescent="0.25">
      <c r="A13" s="45" t="s">
        <v>707</v>
      </c>
      <c r="B13" s="315" t="s">
        <v>708</v>
      </c>
      <c r="C13" s="558" t="s">
        <v>709</v>
      </c>
      <c r="D13" s="558"/>
    </row>
    <row r="14" spans="1:4" x14ac:dyDescent="0.25">
      <c r="A14" s="130" t="s">
        <v>710</v>
      </c>
      <c r="B14" s="131" t="s">
        <v>711</v>
      </c>
      <c r="C14" s="559" t="s">
        <v>1101</v>
      </c>
      <c r="D14" s="559"/>
    </row>
    <row r="15" spans="1:4" x14ac:dyDescent="0.25">
      <c r="A15" s="130" t="s">
        <v>713</v>
      </c>
      <c r="B15" s="131" t="s">
        <v>714</v>
      </c>
      <c r="C15" s="559" t="s">
        <v>715</v>
      </c>
      <c r="D15" s="559"/>
    </row>
    <row r="16" spans="1:4" x14ac:dyDescent="0.25">
      <c r="A16" s="130" t="s">
        <v>716</v>
      </c>
      <c r="B16" s="131" t="s">
        <v>717</v>
      </c>
      <c r="C16" s="559" t="str">
        <f ca="1">RIGHT(CELL("nome.arquivo",A1),LEN(CELL("nome.arquivo",A1))-SEARCH("]",CELL("nome.arquivo",A1)))</f>
        <v>5143-15 ESQ.E 5x2 DIURNO SM</v>
      </c>
      <c r="D16" s="559"/>
    </row>
    <row r="17" spans="1:4" x14ac:dyDescent="0.25">
      <c r="A17" s="130" t="s">
        <v>718</v>
      </c>
      <c r="B17" s="131" t="s">
        <v>719</v>
      </c>
      <c r="C17" s="560" t="s">
        <v>720</v>
      </c>
      <c r="D17" s="560"/>
    </row>
    <row r="18" spans="1:4" x14ac:dyDescent="0.25">
      <c r="A18" s="130" t="s">
        <v>721</v>
      </c>
      <c r="B18" s="131" t="s">
        <v>722</v>
      </c>
      <c r="C18" s="560">
        <v>21</v>
      </c>
      <c r="D18" s="560"/>
    </row>
    <row r="19" spans="1:4" ht="15.75" customHeight="1" x14ac:dyDescent="0.25">
      <c r="A19" s="130" t="s">
        <v>723</v>
      </c>
      <c r="B19" s="131" t="s">
        <v>724</v>
      </c>
      <c r="C19" s="560">
        <f>'DADOS CCT'!D8</f>
        <v>1957.46</v>
      </c>
      <c r="D19" s="560"/>
    </row>
    <row r="20" spans="1:4" ht="15.75" customHeight="1" x14ac:dyDescent="0.25">
      <c r="A20" s="130" t="s">
        <v>725</v>
      </c>
      <c r="B20" s="132" t="s">
        <v>726</v>
      </c>
      <c r="C20" s="573">
        <f>C19/220</f>
        <v>8.8975454545454546</v>
      </c>
      <c r="D20" s="573"/>
    </row>
    <row r="21" spans="1:4" ht="15.75" customHeight="1" x14ac:dyDescent="0.25">
      <c r="A21" s="130" t="s">
        <v>727</v>
      </c>
      <c r="B21" s="132" t="s">
        <v>728</v>
      </c>
      <c r="C21" s="573">
        <f>C20*1.5</f>
        <v>13.346318181818182</v>
      </c>
      <c r="D21" s="573"/>
    </row>
    <row r="22" spans="1:4" ht="15.75" customHeight="1" x14ac:dyDescent="0.25">
      <c r="A22" s="130" t="s">
        <v>729</v>
      </c>
      <c r="B22" s="132" t="s">
        <v>730</v>
      </c>
      <c r="C22" s="573">
        <f>C20*2</f>
        <v>17.795090909090909</v>
      </c>
      <c r="D22" s="573"/>
    </row>
    <row r="23" spans="1:4" ht="15.75" customHeight="1" thickBot="1" x14ac:dyDescent="0.3">
      <c r="A23" s="133" t="s">
        <v>731</v>
      </c>
      <c r="B23" s="134" t="s">
        <v>732</v>
      </c>
      <c r="C23" s="574">
        <f>C20*0.2</f>
        <v>1.7795090909090909</v>
      </c>
      <c r="D23" s="574"/>
    </row>
    <row r="24" spans="1:4" ht="15.95" customHeight="1" thickBot="1" x14ac:dyDescent="0.3">
      <c r="A24" s="125"/>
      <c r="B24" s="42"/>
      <c r="C24" s="126"/>
      <c r="D24" s="127"/>
    </row>
    <row r="25" spans="1:4" ht="15.75" thickBot="1" x14ac:dyDescent="0.3">
      <c r="A25" s="565"/>
      <c r="B25" s="566"/>
      <c r="C25" s="567" t="str">
        <f>'DADOS CCT'!D3</f>
        <v>00 - VALOR ESTIMADO</v>
      </c>
      <c r="D25" s="568"/>
    </row>
    <row r="26" spans="1:4" ht="6" customHeight="1" thickBot="1" x14ac:dyDescent="0.3">
      <c r="A26" s="4"/>
      <c r="B26" s="1"/>
      <c r="C26" s="5"/>
      <c r="D26" s="6"/>
    </row>
    <row r="27" spans="1:4" ht="18" customHeight="1" x14ac:dyDescent="0.25">
      <c r="A27" s="569" t="s">
        <v>733</v>
      </c>
      <c r="B27" s="570"/>
      <c r="C27" s="190"/>
      <c r="D27" s="191" t="s">
        <v>734</v>
      </c>
    </row>
    <row r="28" spans="1:4" ht="15.75" customHeight="1" x14ac:dyDescent="0.25">
      <c r="A28" s="45" t="s">
        <v>735</v>
      </c>
      <c r="B28" s="46" t="s">
        <v>736</v>
      </c>
      <c r="C28" s="135">
        <v>200</v>
      </c>
      <c r="D28" s="28">
        <f>C28*C19/220</f>
        <v>1779.5090909090909</v>
      </c>
    </row>
    <row r="29" spans="1:4" ht="15.75" customHeight="1" x14ac:dyDescent="0.25">
      <c r="A29" s="45" t="s">
        <v>737</v>
      </c>
      <c r="B29" s="46" t="s">
        <v>738</v>
      </c>
      <c r="C29" s="136"/>
      <c r="D29" s="28">
        <f>D$28*C29</f>
        <v>0</v>
      </c>
    </row>
    <row r="30" spans="1:4" ht="15.75" customHeight="1" x14ac:dyDescent="0.25">
      <c r="A30" s="45" t="s">
        <v>739</v>
      </c>
      <c r="B30" s="46" t="s">
        <v>740</v>
      </c>
      <c r="C30" s="136">
        <v>0.2</v>
      </c>
      <c r="D30" s="208">
        <f>C30*C19</f>
        <v>391.49200000000002</v>
      </c>
    </row>
    <row r="31" spans="1:4" ht="15.75" customHeight="1" x14ac:dyDescent="0.25">
      <c r="A31" s="45" t="s">
        <v>741</v>
      </c>
      <c r="B31" s="46" t="s">
        <v>742</v>
      </c>
      <c r="C31" s="28"/>
      <c r="D31" s="28">
        <f>(D28/C28)*0.2*C31*(60/52.5)</f>
        <v>0</v>
      </c>
    </row>
    <row r="32" spans="1:4" ht="15.75" customHeight="1" x14ac:dyDescent="0.25">
      <c r="A32" s="45" t="s">
        <v>743</v>
      </c>
      <c r="B32" s="46" t="s">
        <v>744</v>
      </c>
      <c r="C32" s="28"/>
      <c r="D32" s="28">
        <f>(D28/C28)*1.5*C32</f>
        <v>0</v>
      </c>
    </row>
    <row r="33" spans="1:4" ht="15.75" customHeight="1" x14ac:dyDescent="0.25">
      <c r="A33" s="571" t="s">
        <v>745</v>
      </c>
      <c r="B33" s="572"/>
      <c r="C33" s="184"/>
      <c r="D33" s="185">
        <f>SUM(D28:D32)</f>
        <v>2171.0010909090911</v>
      </c>
    </row>
    <row r="34" spans="1:4" ht="15.75" customHeight="1" x14ac:dyDescent="0.25">
      <c r="A34" s="45" t="s">
        <v>746</v>
      </c>
      <c r="B34" s="46" t="s">
        <v>747</v>
      </c>
      <c r="C34" s="28"/>
      <c r="D34" s="28">
        <f>15*C34*(D28/C28)*1.5</f>
        <v>0</v>
      </c>
    </row>
    <row r="35" spans="1:4" ht="15.75" customHeight="1" x14ac:dyDescent="0.25">
      <c r="A35" s="45" t="s">
        <v>748</v>
      </c>
      <c r="B35" s="46" t="s">
        <v>749</v>
      </c>
      <c r="C35" s="139">
        <f>'DADOS CCT'!D12</f>
        <v>0</v>
      </c>
      <c r="D35" s="28">
        <f>D28*C35</f>
        <v>0</v>
      </c>
    </row>
    <row r="36" spans="1:4" ht="15.75" customHeight="1" x14ac:dyDescent="0.25">
      <c r="A36" s="45" t="s">
        <v>750</v>
      </c>
      <c r="B36" s="46" t="s">
        <v>751</v>
      </c>
      <c r="C36" s="136"/>
      <c r="D36" s="28">
        <f>D$28*C36</f>
        <v>0</v>
      </c>
    </row>
    <row r="37" spans="1:4" ht="15.75" customHeight="1" thickBot="1" x14ac:dyDescent="0.3">
      <c r="A37" s="575" t="s">
        <v>752</v>
      </c>
      <c r="B37" s="576"/>
      <c r="C37" s="188"/>
      <c r="D37" s="189">
        <f>SUM(D33:D36)</f>
        <v>2171.0010909090911</v>
      </c>
    </row>
    <row r="38" spans="1:4" ht="24" customHeight="1" x14ac:dyDescent="0.25">
      <c r="A38" s="577" t="s">
        <v>1233</v>
      </c>
      <c r="B38" s="578"/>
      <c r="C38" s="8"/>
      <c r="D38" s="127"/>
    </row>
    <row r="39" spans="1:4" ht="8.1" customHeight="1" thickBot="1" x14ac:dyDescent="0.3">
      <c r="A39" s="7"/>
      <c r="B39" s="16"/>
      <c r="C39" s="8"/>
      <c r="D39" s="127"/>
    </row>
    <row r="40" spans="1:4" ht="18" customHeight="1" x14ac:dyDescent="0.25">
      <c r="A40" s="579" t="s">
        <v>753</v>
      </c>
      <c r="B40" s="580"/>
      <c r="C40" s="142"/>
      <c r="D40" s="187"/>
    </row>
    <row r="41" spans="1:4" ht="6" customHeight="1" x14ac:dyDescent="0.25">
      <c r="A41" s="125"/>
      <c r="B41" s="42"/>
      <c r="C41" s="126"/>
      <c r="D41" s="127"/>
    </row>
    <row r="42" spans="1:4" ht="15.75" customHeight="1" x14ac:dyDescent="0.25">
      <c r="A42" s="581" t="s">
        <v>754</v>
      </c>
      <c r="B42" s="572"/>
      <c r="C42" s="182"/>
      <c r="D42" s="183" t="s">
        <v>734</v>
      </c>
    </row>
    <row r="43" spans="1:4" ht="15" customHeight="1" x14ac:dyDescent="0.25">
      <c r="A43" s="45" t="s">
        <v>755</v>
      </c>
      <c r="B43" s="46" t="s">
        <v>756</v>
      </c>
      <c r="C43" s="136">
        <v>8.3299999999999999E-2</v>
      </c>
      <c r="D43" s="28">
        <f>D$33*C43</f>
        <v>180.84439087272727</v>
      </c>
    </row>
    <row r="44" spans="1:4" ht="15" customHeight="1" x14ac:dyDescent="0.25">
      <c r="A44" s="45" t="s">
        <v>757</v>
      </c>
      <c r="B44" s="46" t="s">
        <v>758</v>
      </c>
      <c r="C44" s="143">
        <v>3.0249999999999999E-2</v>
      </c>
      <c r="D44" s="28">
        <f>D$33*C44</f>
        <v>65.67278300000001</v>
      </c>
    </row>
    <row r="45" spans="1:4" ht="15.75" customHeight="1" x14ac:dyDescent="0.25">
      <c r="A45" s="582" t="s">
        <v>752</v>
      </c>
      <c r="B45" s="572"/>
      <c r="C45" s="186"/>
      <c r="D45" s="185">
        <f>SUM(D43:D44)</f>
        <v>246.51717387272728</v>
      </c>
    </row>
    <row r="46" spans="1:4" ht="37.5" customHeight="1" x14ac:dyDescent="0.25">
      <c r="A46" s="583" t="s">
        <v>759</v>
      </c>
      <c r="B46" s="584"/>
      <c r="C46" s="141"/>
      <c r="D46" s="41"/>
    </row>
    <row r="47" spans="1:4" ht="8.1" customHeight="1" x14ac:dyDescent="0.25">
      <c r="A47" s="125"/>
      <c r="B47" s="33"/>
      <c r="C47" s="126"/>
      <c r="D47" s="127"/>
    </row>
    <row r="48" spans="1:4" ht="15.75" customHeight="1" x14ac:dyDescent="0.25">
      <c r="A48" s="581" t="s">
        <v>760</v>
      </c>
      <c r="B48" s="572"/>
      <c r="C48" s="182"/>
      <c r="D48" s="183" t="s">
        <v>734</v>
      </c>
    </row>
    <row r="49" spans="1:4" ht="15" customHeight="1" x14ac:dyDescent="0.25">
      <c r="A49" s="45" t="s">
        <v>761</v>
      </c>
      <c r="B49" s="46" t="s">
        <v>762</v>
      </c>
      <c r="C49" s="136">
        <v>0.2</v>
      </c>
      <c r="D49" s="28">
        <f t="shared" ref="D49:D57" si="0">(D$33+D$45)*C49</f>
        <v>483.50365295636368</v>
      </c>
    </row>
    <row r="50" spans="1:4" ht="15" customHeight="1" x14ac:dyDescent="0.25">
      <c r="A50" s="45" t="s">
        <v>763</v>
      </c>
      <c r="B50" s="46" t="s">
        <v>764</v>
      </c>
      <c r="C50" s="136">
        <v>2.5000000000000001E-2</v>
      </c>
      <c r="D50" s="28">
        <f t="shared" si="0"/>
        <v>60.43795661954546</v>
      </c>
    </row>
    <row r="51" spans="1:4" ht="15" customHeight="1" x14ac:dyDescent="0.25">
      <c r="A51" s="45" t="s">
        <v>765</v>
      </c>
      <c r="B51" s="46" t="s">
        <v>766</v>
      </c>
      <c r="C51" s="144">
        <f>'DADOS CCT'!D$22*'DADOS CCT'!D$23</f>
        <v>0.06</v>
      </c>
      <c r="D51" s="28">
        <f t="shared" si="0"/>
        <v>145.05109588690908</v>
      </c>
    </row>
    <row r="52" spans="1:4" ht="15" customHeight="1" x14ac:dyDescent="0.25">
      <c r="A52" s="45" t="s">
        <v>767</v>
      </c>
      <c r="B52" s="46" t="s">
        <v>768</v>
      </c>
      <c r="C52" s="136">
        <v>1.4999999999999999E-2</v>
      </c>
      <c r="D52" s="28">
        <f t="shared" si="0"/>
        <v>36.26277397172727</v>
      </c>
    </row>
    <row r="53" spans="1:4" ht="15" customHeight="1" x14ac:dyDescent="0.25">
      <c r="A53" s="45" t="s">
        <v>769</v>
      </c>
      <c r="B53" s="46" t="s">
        <v>770</v>
      </c>
      <c r="C53" s="136">
        <v>0.01</v>
      </c>
      <c r="D53" s="28">
        <f t="shared" si="0"/>
        <v>24.175182647818183</v>
      </c>
    </row>
    <row r="54" spans="1:4" ht="15" customHeight="1" x14ac:dyDescent="0.25">
      <c r="A54" s="45" t="s">
        <v>771</v>
      </c>
      <c r="B54" s="46" t="s">
        <v>772</v>
      </c>
      <c r="C54" s="136">
        <v>6.0000000000000001E-3</v>
      </c>
      <c r="D54" s="28">
        <f t="shared" si="0"/>
        <v>14.50510958869091</v>
      </c>
    </row>
    <row r="55" spans="1:4" ht="15" customHeight="1" x14ac:dyDescent="0.25">
      <c r="A55" s="45" t="s">
        <v>773</v>
      </c>
      <c r="B55" s="46" t="s">
        <v>774</v>
      </c>
      <c r="C55" s="136">
        <v>2E-3</v>
      </c>
      <c r="D55" s="28">
        <f t="shared" si="0"/>
        <v>4.8350365295636371</v>
      </c>
    </row>
    <row r="56" spans="1:4" ht="15" customHeight="1" x14ac:dyDescent="0.25">
      <c r="A56" s="45" t="s">
        <v>775</v>
      </c>
      <c r="B56" s="46" t="s">
        <v>776</v>
      </c>
      <c r="C56" s="136">
        <v>0.08</v>
      </c>
      <c r="D56" s="28">
        <f t="shared" si="0"/>
        <v>193.40146118254546</v>
      </c>
    </row>
    <row r="57" spans="1:4" ht="15" customHeight="1" x14ac:dyDescent="0.25">
      <c r="A57" s="45" t="s">
        <v>777</v>
      </c>
      <c r="B57" s="46" t="s">
        <v>778</v>
      </c>
      <c r="C57" s="136"/>
      <c r="D57" s="28">
        <f t="shared" si="0"/>
        <v>0</v>
      </c>
    </row>
    <row r="58" spans="1:4" ht="15.75" customHeight="1" x14ac:dyDescent="0.25">
      <c r="A58" s="585" t="s">
        <v>752</v>
      </c>
      <c r="B58" s="412"/>
      <c r="C58" s="137">
        <f>SUM(C49:C50,C51:C57)</f>
        <v>0.39800000000000008</v>
      </c>
      <c r="D58" s="138">
        <f>SUM(D49:D57)</f>
        <v>962.17226938316367</v>
      </c>
    </row>
    <row r="59" spans="1:4" ht="20.25" customHeight="1" x14ac:dyDescent="0.25">
      <c r="A59" s="583" t="s">
        <v>779</v>
      </c>
      <c r="B59" s="586"/>
      <c r="C59" s="141"/>
      <c r="D59" s="41"/>
    </row>
    <row r="60" spans="1:4" ht="8.1" customHeight="1" x14ac:dyDescent="0.25">
      <c r="A60" s="125"/>
      <c r="B60" s="33"/>
      <c r="C60" s="140"/>
      <c r="D60" s="127"/>
    </row>
    <row r="61" spans="1:4" ht="15.75" customHeight="1" x14ac:dyDescent="0.25">
      <c r="A61" s="581" t="s">
        <v>780</v>
      </c>
      <c r="B61" s="572"/>
      <c r="C61" s="182"/>
      <c r="D61" s="183" t="s">
        <v>734</v>
      </c>
    </row>
    <row r="62" spans="1:4" ht="15.75" customHeight="1" x14ac:dyDescent="0.25">
      <c r="A62" s="45" t="s">
        <v>781</v>
      </c>
      <c r="B62" s="46" t="s">
        <v>782</v>
      </c>
      <c r="C62" s="145"/>
      <c r="D62" s="138">
        <f>((C63*C64*C65)-D66)*C67</f>
        <v>103.22945454545454</v>
      </c>
    </row>
    <row r="63" spans="1:4" ht="15.75" customHeight="1" x14ac:dyDescent="0.25">
      <c r="A63" s="45" t="s">
        <v>783</v>
      </c>
      <c r="B63" s="46" t="s">
        <v>784</v>
      </c>
      <c r="C63" s="146">
        <f>'DADOS CCT'!D13</f>
        <v>5</v>
      </c>
      <c r="D63" s="28">
        <v>0</v>
      </c>
    </row>
    <row r="64" spans="1:4" ht="15.75" customHeight="1" x14ac:dyDescent="0.25">
      <c r="A64" s="45" t="s">
        <v>785</v>
      </c>
      <c r="B64" s="46" t="s">
        <v>786</v>
      </c>
      <c r="C64" s="28">
        <v>2</v>
      </c>
      <c r="D64" s="28">
        <v>0</v>
      </c>
    </row>
    <row r="65" spans="1:4" ht="15.75" customHeight="1" x14ac:dyDescent="0.25">
      <c r="A65" s="45" t="s">
        <v>787</v>
      </c>
      <c r="B65" s="46" t="s">
        <v>788</v>
      </c>
      <c r="C65" s="147">
        <f>C$18</f>
        <v>21</v>
      </c>
      <c r="D65" s="28">
        <v>0</v>
      </c>
    </row>
    <row r="66" spans="1:4" ht="15.75" customHeight="1" x14ac:dyDescent="0.25">
      <c r="A66" s="45" t="s">
        <v>789</v>
      </c>
      <c r="B66" s="46" t="s">
        <v>790</v>
      </c>
      <c r="C66" s="136">
        <v>0.06</v>
      </c>
      <c r="D66" s="28">
        <f>C66*D$28</f>
        <v>106.77054545454546</v>
      </c>
    </row>
    <row r="67" spans="1:4" ht="15.75" customHeight="1" x14ac:dyDescent="0.25">
      <c r="A67" s="45" t="s">
        <v>791</v>
      </c>
      <c r="B67" s="46" t="s">
        <v>792</v>
      </c>
      <c r="C67" s="144">
        <f>'DADOS CCT'!D14</f>
        <v>1</v>
      </c>
      <c r="D67" s="28">
        <v>0</v>
      </c>
    </row>
    <row r="68" spans="1:4" ht="15.75" customHeight="1" x14ac:dyDescent="0.25">
      <c r="A68" s="45" t="s">
        <v>793</v>
      </c>
      <c r="B68" s="46" t="s">
        <v>794</v>
      </c>
      <c r="C68" s="136"/>
      <c r="D68" s="138">
        <f>(C69*C70)-D71</f>
        <v>402.79679999999996</v>
      </c>
    </row>
    <row r="69" spans="1:4" ht="15.75" customHeight="1" x14ac:dyDescent="0.25">
      <c r="A69" s="45" t="s">
        <v>795</v>
      </c>
      <c r="B69" s="46" t="s">
        <v>796</v>
      </c>
      <c r="C69" s="146">
        <f>'DADOS CCT'!D15</f>
        <v>23.68</v>
      </c>
      <c r="D69" s="28">
        <v>0</v>
      </c>
    </row>
    <row r="70" spans="1:4" ht="15.75" customHeight="1" x14ac:dyDescent="0.25">
      <c r="A70" s="45" t="s">
        <v>797</v>
      </c>
      <c r="B70" s="46" t="s">
        <v>798</v>
      </c>
      <c r="C70" s="147">
        <f>C$18</f>
        <v>21</v>
      </c>
      <c r="D70" s="28">
        <v>0</v>
      </c>
    </row>
    <row r="71" spans="1:4" ht="15.75" customHeight="1" x14ac:dyDescent="0.25">
      <c r="A71" s="45" t="s">
        <v>799</v>
      </c>
      <c r="B71" s="46" t="s">
        <v>800</v>
      </c>
      <c r="C71" s="144">
        <f>'DADOS CCT'!D17</f>
        <v>0.19</v>
      </c>
      <c r="D71" s="28">
        <f>(C69*C70)*C71</f>
        <v>94.483199999999997</v>
      </c>
    </row>
    <row r="72" spans="1:4" ht="15.75" customHeight="1" x14ac:dyDescent="0.25">
      <c r="A72" s="45" t="s">
        <v>801</v>
      </c>
      <c r="B72" s="46" t="s">
        <v>802</v>
      </c>
      <c r="C72" s="136"/>
      <c r="D72" s="208">
        <f>'DADOS CCT'!D$18</f>
        <v>19.420000000000002</v>
      </c>
    </row>
    <row r="73" spans="1:4" ht="15.75" customHeight="1" x14ac:dyDescent="0.25">
      <c r="A73" s="45" t="s">
        <v>803</v>
      </c>
      <c r="B73" s="46" t="s">
        <v>804</v>
      </c>
      <c r="C73" s="136"/>
      <c r="D73" s="28">
        <v>0</v>
      </c>
    </row>
    <row r="74" spans="1:4" ht="15.75" customHeight="1" x14ac:dyDescent="0.25">
      <c r="A74" s="45" t="s">
        <v>805</v>
      </c>
      <c r="B74" s="46" t="s">
        <v>778</v>
      </c>
      <c r="C74" s="136"/>
      <c r="D74" s="28">
        <v>0</v>
      </c>
    </row>
    <row r="75" spans="1:4" ht="15.75" customHeight="1" x14ac:dyDescent="0.25">
      <c r="A75" s="582" t="s">
        <v>752</v>
      </c>
      <c r="B75" s="572"/>
      <c r="C75" s="184"/>
      <c r="D75" s="185">
        <f>SUM(D62,D68,D72:D74)</f>
        <v>525.44625454545451</v>
      </c>
    </row>
    <row r="76" spans="1:4" ht="38.25" customHeight="1" x14ac:dyDescent="0.25">
      <c r="A76" s="583" t="s">
        <v>1102</v>
      </c>
      <c r="B76" s="586"/>
      <c r="C76" s="40"/>
      <c r="D76" s="41"/>
    </row>
    <row r="77" spans="1:4" ht="8.1" customHeight="1" x14ac:dyDescent="0.25">
      <c r="A77" s="125"/>
      <c r="B77" s="33"/>
      <c r="C77" s="140"/>
      <c r="D77" s="127"/>
    </row>
    <row r="78" spans="1:4" ht="15.75" customHeight="1" x14ac:dyDescent="0.25">
      <c r="A78" s="581" t="s">
        <v>806</v>
      </c>
      <c r="B78" s="572"/>
      <c r="C78" s="182"/>
      <c r="D78" s="183" t="s">
        <v>734</v>
      </c>
    </row>
    <row r="79" spans="1:4" ht="15.75" customHeight="1" x14ac:dyDescent="0.25">
      <c r="A79" s="45" t="s">
        <v>807</v>
      </c>
      <c r="B79" s="46" t="s">
        <v>808</v>
      </c>
      <c r="C79" s="136"/>
      <c r="D79" s="28">
        <f>D45</f>
        <v>246.51717387272728</v>
      </c>
    </row>
    <row r="80" spans="1:4" ht="15.75" customHeight="1" x14ac:dyDescent="0.25">
      <c r="A80" s="45" t="s">
        <v>809</v>
      </c>
      <c r="B80" s="46" t="s">
        <v>810</v>
      </c>
      <c r="C80" s="28"/>
      <c r="D80" s="28">
        <f>D58</f>
        <v>962.17226938316367</v>
      </c>
    </row>
    <row r="81" spans="1:4" ht="15.75" customHeight="1" x14ac:dyDescent="0.25">
      <c r="A81" s="45" t="s">
        <v>811</v>
      </c>
      <c r="B81" s="46" t="s">
        <v>812</v>
      </c>
      <c r="C81" s="28"/>
      <c r="D81" s="28">
        <f>D75</f>
        <v>525.44625454545451</v>
      </c>
    </row>
    <row r="82" spans="1:4" ht="15.75" customHeight="1" thickBot="1" x14ac:dyDescent="0.3">
      <c r="A82" s="589" t="s">
        <v>752</v>
      </c>
      <c r="B82" s="590"/>
      <c r="C82" s="180"/>
      <c r="D82" s="181">
        <f>SUM(D79:D81)</f>
        <v>1734.1356978013455</v>
      </c>
    </row>
    <row r="83" spans="1:4" ht="8.1" customHeight="1" x14ac:dyDescent="0.25">
      <c r="A83" s="148"/>
      <c r="B83" s="149"/>
      <c r="C83" s="40"/>
      <c r="D83" s="41"/>
    </row>
    <row r="84" spans="1:4" ht="8.1" customHeight="1" thickBot="1" x14ac:dyDescent="0.3">
      <c r="A84" s="4"/>
      <c r="B84" s="1"/>
      <c r="C84" s="22"/>
      <c r="D84" s="6"/>
    </row>
    <row r="85" spans="1:4" ht="18" customHeight="1" x14ac:dyDescent="0.25">
      <c r="A85" s="591" t="s">
        <v>813</v>
      </c>
      <c r="B85" s="592"/>
      <c r="C85" s="12"/>
      <c r="D85" s="150" t="s">
        <v>734</v>
      </c>
    </row>
    <row r="86" spans="1:4" ht="15.75" customHeight="1" x14ac:dyDescent="0.25">
      <c r="A86" s="209" t="s">
        <v>814</v>
      </c>
      <c r="B86" s="210" t="s">
        <v>815</v>
      </c>
      <c r="C86" s="211">
        <v>0.05</v>
      </c>
      <c r="D86" s="212">
        <f>(D$33/$C$11)*C86*C89</f>
        <v>9.0458378787878804</v>
      </c>
    </row>
    <row r="87" spans="1:4" ht="15.75" customHeight="1" x14ac:dyDescent="0.25">
      <c r="A87" s="209" t="s">
        <v>816</v>
      </c>
      <c r="B87" s="210" t="s">
        <v>817</v>
      </c>
      <c r="C87" s="211">
        <f>C56</f>
        <v>0.08</v>
      </c>
      <c r="D87" s="212">
        <f>D86*C87</f>
        <v>0.72366703030303048</v>
      </c>
    </row>
    <row r="88" spans="1:4" ht="15.75" customHeight="1" x14ac:dyDescent="0.25">
      <c r="A88" s="209" t="s">
        <v>818</v>
      </c>
      <c r="B88" s="210" t="s">
        <v>819</v>
      </c>
      <c r="C88" s="211">
        <v>0.04</v>
      </c>
      <c r="D88" s="212">
        <f>D$33*C88</f>
        <v>86.840043636363646</v>
      </c>
    </row>
    <row r="89" spans="1:4" ht="15.75" customHeight="1" x14ac:dyDescent="0.25">
      <c r="A89" s="213" t="s">
        <v>820</v>
      </c>
      <c r="B89" s="214" t="s">
        <v>821</v>
      </c>
      <c r="C89" s="215">
        <v>1</v>
      </c>
      <c r="D89" s="216">
        <v>0</v>
      </c>
    </row>
    <row r="90" spans="1:4" ht="15.75" customHeight="1" x14ac:dyDescent="0.25">
      <c r="A90" s="18" t="s">
        <v>822</v>
      </c>
      <c r="B90" s="13" t="s">
        <v>823</v>
      </c>
      <c r="C90" s="15">
        <v>0.9</v>
      </c>
      <c r="D90" s="14">
        <f>(((D$33/30)*7)/12)*C90*C93</f>
        <v>37.992519090909099</v>
      </c>
    </row>
    <row r="91" spans="1:4" ht="15.75" customHeight="1" x14ac:dyDescent="0.25">
      <c r="A91" s="18" t="s">
        <v>820</v>
      </c>
      <c r="B91" s="13" t="s">
        <v>824</v>
      </c>
      <c r="C91" s="15">
        <f>C58</f>
        <v>0.39800000000000008</v>
      </c>
      <c r="D91" s="14">
        <f>D90*C91</f>
        <v>15.121022598181824</v>
      </c>
    </row>
    <row r="92" spans="1:4" ht="15.75" customHeight="1" x14ac:dyDescent="0.25">
      <c r="A92" s="18" t="s">
        <v>822</v>
      </c>
      <c r="B92" s="13" t="s">
        <v>825</v>
      </c>
      <c r="C92" s="17">
        <v>3.8080000000000003E-2</v>
      </c>
      <c r="D92" s="14">
        <f>D$33*C92</f>
        <v>82.671721541818201</v>
      </c>
    </row>
    <row r="93" spans="1:4" ht="15.75" customHeight="1" x14ac:dyDescent="0.25">
      <c r="A93" s="66" t="s">
        <v>826</v>
      </c>
      <c r="B93" s="34" t="s">
        <v>827</v>
      </c>
      <c r="C93" s="67">
        <v>1</v>
      </c>
      <c r="D93" s="35">
        <v>0</v>
      </c>
    </row>
    <row r="94" spans="1:4" ht="15.75" customHeight="1" thickBot="1" x14ac:dyDescent="0.3">
      <c r="A94" s="593" t="s">
        <v>752</v>
      </c>
      <c r="B94" s="594"/>
      <c r="C94" s="172"/>
      <c r="D94" s="173">
        <f>SUM(D86:D88,D90:D92)</f>
        <v>232.39481177636367</v>
      </c>
    </row>
    <row r="95" spans="1:4" ht="58.5" customHeight="1" x14ac:dyDescent="0.25">
      <c r="A95" s="577" t="s">
        <v>828</v>
      </c>
      <c r="B95" s="578"/>
      <c r="C95" s="3"/>
      <c r="D95" s="41"/>
    </row>
    <row r="96" spans="1:4" ht="15.95" customHeight="1" thickBot="1" x14ac:dyDescent="0.3">
      <c r="A96" s="4"/>
      <c r="B96" s="1"/>
      <c r="C96" s="22"/>
      <c r="D96" s="6"/>
    </row>
    <row r="97" spans="1:4" ht="18" customHeight="1" x14ac:dyDescent="0.25">
      <c r="A97" s="591" t="s">
        <v>829</v>
      </c>
      <c r="B97" s="592"/>
      <c r="C97" s="12"/>
      <c r="D97" s="150" t="s">
        <v>734</v>
      </c>
    </row>
    <row r="98" spans="1:4" ht="8.1" customHeight="1" x14ac:dyDescent="0.25">
      <c r="A98" s="7"/>
      <c r="C98" s="8"/>
      <c r="D98" s="127"/>
    </row>
    <row r="99" spans="1:4" ht="15.75" customHeight="1" x14ac:dyDescent="0.25">
      <c r="A99" s="587" t="s">
        <v>830</v>
      </c>
      <c r="B99" s="588"/>
      <c r="C99" s="151"/>
      <c r="D99" s="152">
        <f>SUM(D33,D45,D102)</f>
        <v>2614.5366137818182</v>
      </c>
    </row>
    <row r="100" spans="1:4" ht="8.1" customHeight="1" x14ac:dyDescent="0.25">
      <c r="A100" s="7"/>
      <c r="C100" s="8"/>
      <c r="D100" s="127"/>
    </row>
    <row r="101" spans="1:4" ht="15.75" customHeight="1" x14ac:dyDescent="0.25">
      <c r="A101" s="587" t="s">
        <v>831</v>
      </c>
      <c r="B101" s="588"/>
      <c r="C101" s="151"/>
      <c r="D101" s="152" t="s">
        <v>734</v>
      </c>
    </row>
    <row r="102" spans="1:4" ht="15.75" customHeight="1" x14ac:dyDescent="0.25">
      <c r="A102" s="18" t="s">
        <v>832</v>
      </c>
      <c r="B102" s="13" t="s">
        <v>833</v>
      </c>
      <c r="C102" s="17">
        <v>9.0749999999999997E-2</v>
      </c>
      <c r="D102" s="14">
        <f>D$33*C102</f>
        <v>197.018349</v>
      </c>
    </row>
    <row r="103" spans="1:4" ht="15.75" customHeight="1" x14ac:dyDescent="0.25">
      <c r="A103" s="18" t="s">
        <v>834</v>
      </c>
      <c r="B103" s="13" t="s">
        <v>835</v>
      </c>
      <c r="C103" s="14">
        <v>1</v>
      </c>
      <c r="D103" s="14">
        <f>((D99/30)*C103)/12</f>
        <v>7.2626017049494953</v>
      </c>
    </row>
    <row r="104" spans="1:4" ht="15.75" customHeight="1" x14ac:dyDescent="0.25">
      <c r="A104" s="18" t="s">
        <v>836</v>
      </c>
      <c r="B104" s="13" t="s">
        <v>837</v>
      </c>
      <c r="C104" s="15">
        <v>1.4999999999999999E-2</v>
      </c>
      <c r="D104" s="14">
        <f>((D99/30)*5/12)*C104</f>
        <v>0.5446951278712121</v>
      </c>
    </row>
    <row r="105" spans="1:4" ht="15.75" customHeight="1" x14ac:dyDescent="0.25">
      <c r="A105" s="18" t="s">
        <v>838</v>
      </c>
      <c r="B105" s="13" t="s">
        <v>839</v>
      </c>
      <c r="C105" s="15">
        <v>7.7999999999999996E-3</v>
      </c>
      <c r="D105" s="14">
        <f>((D99/30)*15/12)*C105</f>
        <v>0.84972439947909084</v>
      </c>
    </row>
    <row r="106" spans="1:4" ht="15.75" customHeight="1" x14ac:dyDescent="0.25">
      <c r="A106" s="18" t="s">
        <v>840</v>
      </c>
      <c r="B106" s="13" t="s">
        <v>841</v>
      </c>
      <c r="C106" s="15">
        <v>0.02</v>
      </c>
      <c r="D106" s="14">
        <f>(((D33+(D33/3))/12)*(4/12))*C106</f>
        <v>1.6081489562289562</v>
      </c>
    </row>
    <row r="107" spans="1:4" ht="15.75" customHeight="1" x14ac:dyDescent="0.25">
      <c r="A107" s="18" t="s">
        <v>842</v>
      </c>
      <c r="B107" s="13" t="s">
        <v>843</v>
      </c>
      <c r="C107" s="14">
        <v>3</v>
      </c>
      <c r="D107" s="14">
        <f>((D99/30)*C107)/12</f>
        <v>21.787805114848485</v>
      </c>
    </row>
    <row r="108" spans="1:4" ht="15.75" customHeight="1" x14ac:dyDescent="0.25">
      <c r="A108" s="18" t="s">
        <v>844</v>
      </c>
      <c r="B108" s="13" t="s">
        <v>845</v>
      </c>
      <c r="C108" s="14"/>
      <c r="D108" s="14">
        <f>((D99/30)*C108)/12</f>
        <v>0</v>
      </c>
    </row>
    <row r="109" spans="1:4" ht="15.75" customHeight="1" x14ac:dyDescent="0.25">
      <c r="A109" s="595" t="s">
        <v>752</v>
      </c>
      <c r="B109" s="588"/>
      <c r="C109" s="175"/>
      <c r="D109" s="44">
        <f>SUM(D102:D107)</f>
        <v>229.07132430337725</v>
      </c>
    </row>
    <row r="110" spans="1:4" ht="15.75" customHeight="1" x14ac:dyDescent="0.25">
      <c r="A110" s="18" t="s">
        <v>846</v>
      </c>
      <c r="B110" s="13" t="s">
        <v>847</v>
      </c>
      <c r="C110" s="15">
        <f>C58</f>
        <v>0.39800000000000008</v>
      </c>
      <c r="D110" s="14">
        <f>D109*C110</f>
        <v>91.170387072744163</v>
      </c>
    </row>
    <row r="111" spans="1:4" ht="15.75" customHeight="1" x14ac:dyDescent="0.25">
      <c r="A111" s="596" t="s">
        <v>752</v>
      </c>
      <c r="B111" s="588"/>
      <c r="C111" s="179"/>
      <c r="D111" s="178">
        <f>SUM(D109:D110)</f>
        <v>320.24171137612143</v>
      </c>
    </row>
    <row r="112" spans="1:4" ht="61.5" customHeight="1" x14ac:dyDescent="0.25">
      <c r="A112" s="577" t="s">
        <v>848</v>
      </c>
      <c r="B112" s="578"/>
      <c r="C112" s="3"/>
      <c r="D112" s="41"/>
    </row>
    <row r="113" spans="1:4" ht="8.1" customHeight="1" x14ac:dyDescent="0.25">
      <c r="A113" s="125"/>
      <c r="B113" s="42"/>
      <c r="C113" s="140"/>
      <c r="D113" s="127"/>
    </row>
    <row r="114" spans="1:4" ht="15.75" customHeight="1" x14ac:dyDescent="0.25">
      <c r="A114" s="587" t="s">
        <v>849</v>
      </c>
      <c r="B114" s="588"/>
      <c r="C114" s="151"/>
      <c r="D114" s="152" t="s">
        <v>734</v>
      </c>
    </row>
    <row r="115" spans="1:4" ht="15.75" customHeight="1" x14ac:dyDescent="0.25">
      <c r="A115" s="18" t="s">
        <v>850</v>
      </c>
      <c r="B115" s="13" t="s">
        <v>851</v>
      </c>
      <c r="C115" s="14">
        <v>0</v>
      </c>
      <c r="D115" s="14">
        <f>((D$37+D$82)/C$28)*C115*C$18</f>
        <v>0</v>
      </c>
    </row>
    <row r="116" spans="1:4" ht="15.75" customHeight="1" x14ac:dyDescent="0.25">
      <c r="A116" s="18" t="s">
        <v>852</v>
      </c>
      <c r="B116" s="13" t="s">
        <v>853</v>
      </c>
      <c r="C116" s="15">
        <f>C58</f>
        <v>0.39800000000000008</v>
      </c>
      <c r="D116" s="14">
        <f>D115*C116</f>
        <v>0</v>
      </c>
    </row>
    <row r="117" spans="1:4" ht="15.75" customHeight="1" x14ac:dyDescent="0.25">
      <c r="A117" s="596" t="s">
        <v>752</v>
      </c>
      <c r="B117" s="588"/>
      <c r="C117" s="177"/>
      <c r="D117" s="178">
        <f>SUM(D115:D116)</f>
        <v>0</v>
      </c>
    </row>
    <row r="118" spans="1:4" ht="8.1" customHeight="1" x14ac:dyDescent="0.25">
      <c r="A118" s="577"/>
      <c r="B118" s="578"/>
      <c r="C118" s="3"/>
      <c r="D118" s="41"/>
    </row>
    <row r="119" spans="1:4" ht="8.1" customHeight="1" x14ac:dyDescent="0.25">
      <c r="A119" s="7"/>
      <c r="C119" s="20"/>
      <c r="D119" s="127"/>
    </row>
    <row r="120" spans="1:4" ht="15.75" customHeight="1" x14ac:dyDescent="0.25">
      <c r="A120" s="587" t="s">
        <v>854</v>
      </c>
      <c r="B120" s="588"/>
      <c r="C120" s="151"/>
      <c r="D120" s="152" t="s">
        <v>734</v>
      </c>
    </row>
    <row r="121" spans="1:4" ht="15.75" customHeight="1" x14ac:dyDescent="0.25">
      <c r="A121" s="18" t="s">
        <v>855</v>
      </c>
      <c r="B121" s="13" t="s">
        <v>856</v>
      </c>
      <c r="C121" s="15"/>
      <c r="D121" s="14">
        <f>D111</f>
        <v>320.24171137612143</v>
      </c>
    </row>
    <row r="122" spans="1:4" ht="15.75" customHeight="1" x14ac:dyDescent="0.25">
      <c r="A122" s="18" t="s">
        <v>857</v>
      </c>
      <c r="B122" s="13" t="s">
        <v>858</v>
      </c>
      <c r="C122" s="14"/>
      <c r="D122" s="14">
        <f>D117</f>
        <v>0</v>
      </c>
    </row>
    <row r="123" spans="1:4" ht="15.75" customHeight="1" thickBot="1" x14ac:dyDescent="0.3">
      <c r="A123" s="593" t="s">
        <v>752</v>
      </c>
      <c r="B123" s="594"/>
      <c r="C123" s="172"/>
      <c r="D123" s="173">
        <f>SUM(D121:D122)</f>
        <v>320.24171137612143</v>
      </c>
    </row>
    <row r="124" spans="1:4" ht="8.1" customHeight="1" x14ac:dyDescent="0.25">
      <c r="A124" s="153"/>
      <c r="B124" s="154"/>
      <c r="C124" s="155"/>
      <c r="D124" s="156"/>
    </row>
    <row r="125" spans="1:4" ht="8.1" customHeight="1" thickBot="1" x14ac:dyDescent="0.3">
      <c r="A125" s="125"/>
      <c r="B125" s="42"/>
      <c r="C125" s="140"/>
      <c r="D125" s="127"/>
    </row>
    <row r="126" spans="1:4" ht="18" customHeight="1" x14ac:dyDescent="0.25">
      <c r="A126" s="591" t="s">
        <v>859</v>
      </c>
      <c r="B126" s="592"/>
      <c r="C126" s="12"/>
      <c r="D126" s="150" t="s">
        <v>734</v>
      </c>
    </row>
    <row r="127" spans="1:4" ht="15.75" customHeight="1" x14ac:dyDescent="0.25">
      <c r="A127" s="174" t="s">
        <v>860</v>
      </c>
      <c r="B127" s="175" t="s">
        <v>861</v>
      </c>
      <c r="C127" s="176"/>
      <c r="D127" s="44">
        <f>tbUNIFORMESL[[#Totals],[VL. MENSAL]]</f>
        <v>167.72833333333332</v>
      </c>
    </row>
    <row r="128" spans="1:4" ht="15.75" customHeight="1" x14ac:dyDescent="0.25">
      <c r="A128" s="174" t="s">
        <v>862</v>
      </c>
      <c r="B128" s="175" t="s">
        <v>863</v>
      </c>
      <c r="C128" s="176"/>
      <c r="D128" s="44">
        <v>0</v>
      </c>
    </row>
    <row r="129" spans="1:4" ht="15.75" customHeight="1" x14ac:dyDescent="0.25">
      <c r="A129" s="174" t="s">
        <v>864</v>
      </c>
      <c r="B129" s="175" t="s">
        <v>865</v>
      </c>
      <c r="C129" s="176"/>
      <c r="D129" s="44">
        <v>0</v>
      </c>
    </row>
    <row r="130" spans="1:4" ht="15.75" customHeight="1" x14ac:dyDescent="0.25">
      <c r="A130" s="174" t="s">
        <v>866</v>
      </c>
      <c r="B130" s="175" t="s">
        <v>867</v>
      </c>
      <c r="C130" s="176"/>
      <c r="D130" s="44">
        <v>0</v>
      </c>
    </row>
    <row r="131" spans="1:4" ht="15.75" customHeight="1" thickBot="1" x14ac:dyDescent="0.3">
      <c r="A131" s="593" t="s">
        <v>752</v>
      </c>
      <c r="B131" s="594"/>
      <c r="C131" s="172"/>
      <c r="D131" s="173">
        <f>SUM(D127:D130)</f>
        <v>167.72833333333332</v>
      </c>
    </row>
    <row r="132" spans="1:4" ht="15.95" customHeight="1" thickBot="1" x14ac:dyDescent="0.3">
      <c r="A132" s="4"/>
      <c r="B132" s="1"/>
      <c r="C132" s="22"/>
      <c r="D132" s="6"/>
    </row>
    <row r="133" spans="1:4" ht="18" customHeight="1" x14ac:dyDescent="0.25">
      <c r="A133" s="591" t="s">
        <v>868</v>
      </c>
      <c r="B133" s="592"/>
      <c r="C133" s="12"/>
      <c r="D133" s="150" t="s">
        <v>734</v>
      </c>
    </row>
    <row r="134" spans="1:4" ht="8.1" customHeight="1" x14ac:dyDescent="0.25">
      <c r="A134" s="7"/>
      <c r="C134" s="8"/>
      <c r="D134" s="127"/>
    </row>
    <row r="135" spans="1:4" ht="15.75" customHeight="1" x14ac:dyDescent="0.25">
      <c r="A135" s="587" t="s">
        <v>869</v>
      </c>
      <c r="B135" s="588"/>
      <c r="C135" s="151"/>
      <c r="D135" s="152">
        <f>SUM(D37,D82,D94,D123,D131)</f>
        <v>4625.5016451962547</v>
      </c>
    </row>
    <row r="136" spans="1:4" ht="8.1" customHeight="1" x14ac:dyDescent="0.25">
      <c r="A136" s="7"/>
      <c r="C136" s="8"/>
      <c r="D136" s="127"/>
    </row>
    <row r="137" spans="1:4" ht="15.75" customHeight="1" x14ac:dyDescent="0.25">
      <c r="A137" s="66" t="s">
        <v>870</v>
      </c>
      <c r="B137" s="34" t="s">
        <v>871</v>
      </c>
      <c r="C137" s="67">
        <v>0.05</v>
      </c>
      <c r="D137" s="35">
        <f>D$135*C137</f>
        <v>231.27508225981273</v>
      </c>
    </row>
    <row r="138" spans="1:4" ht="15.75" customHeight="1" x14ac:dyDescent="0.25">
      <c r="A138" s="66" t="s">
        <v>872</v>
      </c>
      <c r="B138" s="34" t="s">
        <v>873</v>
      </c>
      <c r="C138" s="67">
        <v>0.1</v>
      </c>
      <c r="D138" s="35">
        <f>SUM(D135,D137)*C138</f>
        <v>485.67767274560674</v>
      </c>
    </row>
    <row r="139" spans="1:4" ht="8.1" customHeight="1" x14ac:dyDescent="0.25">
      <c r="A139" s="7"/>
      <c r="C139" s="8"/>
      <c r="D139" s="127"/>
    </row>
    <row r="140" spans="1:4" ht="15.75" customHeight="1" x14ac:dyDescent="0.25">
      <c r="A140" s="587" t="s">
        <v>874</v>
      </c>
      <c r="B140" s="588"/>
      <c r="C140" s="151"/>
      <c r="D140" s="152">
        <f>SUM(D135,D137:D138)</f>
        <v>5342.4544002016737</v>
      </c>
    </row>
    <row r="141" spans="1:4" ht="8.1" customHeight="1" x14ac:dyDescent="0.25">
      <c r="A141" s="7"/>
      <c r="C141" s="8"/>
      <c r="D141" s="127"/>
    </row>
    <row r="142" spans="1:4" ht="15.75" customHeight="1" x14ac:dyDescent="0.25">
      <c r="A142" s="18" t="s">
        <v>875</v>
      </c>
      <c r="B142" s="13" t="s">
        <v>876</v>
      </c>
      <c r="C142" s="19">
        <f>'DADOS CCT'!D21</f>
        <v>7.5999999999999998E-2</v>
      </c>
      <c r="D142" s="14">
        <f>(D$140/(1-C$146))*C142</f>
        <v>468.04211459980087</v>
      </c>
    </row>
    <row r="143" spans="1:4" ht="15.75" customHeight="1" x14ac:dyDescent="0.25">
      <c r="A143" s="18" t="s">
        <v>877</v>
      </c>
      <c r="B143" s="13" t="s">
        <v>878</v>
      </c>
      <c r="C143" s="19">
        <f>'DADOS CCT'!D20</f>
        <v>1.6500000000000001E-2</v>
      </c>
      <c r="D143" s="14">
        <f>(D$140/(1-C$146))*C143</f>
        <v>101.6144064591673</v>
      </c>
    </row>
    <row r="144" spans="1:4" ht="15.75" customHeight="1" x14ac:dyDescent="0.25">
      <c r="A144" s="18" t="s">
        <v>879</v>
      </c>
      <c r="B144" s="13" t="s">
        <v>880</v>
      </c>
      <c r="C144" s="15"/>
      <c r="D144" s="14">
        <f>(D$140/(1-C$146))*C144</f>
        <v>0</v>
      </c>
    </row>
    <row r="145" spans="1:4" ht="15.75" customHeight="1" x14ac:dyDescent="0.25">
      <c r="A145" s="18" t="s">
        <v>881</v>
      </c>
      <c r="B145" s="13" t="s">
        <v>882</v>
      </c>
      <c r="C145" s="19">
        <f>'DADOS CCT'!D19</f>
        <v>0.04</v>
      </c>
      <c r="D145" s="14">
        <f>(D$140/(1-C$146))*C145</f>
        <v>246.33795505252678</v>
      </c>
    </row>
    <row r="146" spans="1:4" ht="15.75" customHeight="1" thickBot="1" x14ac:dyDescent="0.3">
      <c r="A146" s="599" t="s">
        <v>752</v>
      </c>
      <c r="B146" s="600"/>
      <c r="C146" s="43">
        <f>SUM(C142:C145)</f>
        <v>0.13250000000000001</v>
      </c>
      <c r="D146" s="39">
        <f>SUM(D137:D138,D142:D145)</f>
        <v>1532.9472311169145</v>
      </c>
    </row>
    <row r="147" spans="1:4" ht="15.95" customHeight="1" thickBot="1" x14ac:dyDescent="0.3">
      <c r="A147" s="4"/>
      <c r="B147" s="1"/>
      <c r="C147" s="22"/>
      <c r="D147" s="6"/>
    </row>
    <row r="148" spans="1:4" ht="18" customHeight="1" x14ac:dyDescent="0.25">
      <c r="A148" s="601" t="s">
        <v>883</v>
      </c>
      <c r="B148" s="602"/>
      <c r="C148" s="170"/>
      <c r="D148" s="171" t="s">
        <v>734</v>
      </c>
    </row>
    <row r="149" spans="1:4" ht="15.75" customHeight="1" x14ac:dyDescent="0.25">
      <c r="A149" s="45"/>
      <c r="B149" s="46" t="s">
        <v>884</v>
      </c>
      <c r="C149" s="136"/>
      <c r="D149" s="28">
        <f>D37</f>
        <v>2171.0010909090911</v>
      </c>
    </row>
    <row r="150" spans="1:4" ht="15.75" customHeight="1" x14ac:dyDescent="0.25">
      <c r="A150" s="45"/>
      <c r="B150" s="46" t="s">
        <v>885</v>
      </c>
      <c r="C150" s="136"/>
      <c r="D150" s="28">
        <f>D82</f>
        <v>1734.1356978013455</v>
      </c>
    </row>
    <row r="151" spans="1:4" ht="15.75" customHeight="1" x14ac:dyDescent="0.25">
      <c r="A151" s="45"/>
      <c r="B151" s="46" t="s">
        <v>886</v>
      </c>
      <c r="C151" s="143"/>
      <c r="D151" s="28">
        <f>D94</f>
        <v>232.39481177636367</v>
      </c>
    </row>
    <row r="152" spans="1:4" ht="15.75" customHeight="1" x14ac:dyDescent="0.25">
      <c r="A152" s="45"/>
      <c r="B152" s="46" t="s">
        <v>887</v>
      </c>
      <c r="C152" s="136"/>
      <c r="D152" s="28">
        <f>D123</f>
        <v>320.24171137612143</v>
      </c>
    </row>
    <row r="153" spans="1:4" ht="15.75" customHeight="1" x14ac:dyDescent="0.25">
      <c r="A153" s="45"/>
      <c r="B153" s="46" t="s">
        <v>888</v>
      </c>
      <c r="C153" s="136"/>
      <c r="D153" s="28">
        <f>D131</f>
        <v>167.72833333333332</v>
      </c>
    </row>
    <row r="154" spans="1:4" ht="15.75" customHeight="1" x14ac:dyDescent="0.25">
      <c r="A154" s="585" t="s">
        <v>752</v>
      </c>
      <c r="B154" s="412"/>
      <c r="C154" s="137"/>
      <c r="D154" s="138">
        <f>SUM(D149:D153)</f>
        <v>4625.5016451962547</v>
      </c>
    </row>
    <row r="155" spans="1:4" ht="15.75" customHeight="1" x14ac:dyDescent="0.25">
      <c r="A155" s="45"/>
      <c r="B155" s="46" t="s">
        <v>889</v>
      </c>
      <c r="C155" s="143"/>
      <c r="D155" s="28">
        <f>D146</f>
        <v>1532.9472311169145</v>
      </c>
    </row>
    <row r="156" spans="1:4" ht="15.75" customHeight="1" thickBot="1" x14ac:dyDescent="0.35">
      <c r="A156" s="603" t="s">
        <v>890</v>
      </c>
      <c r="B156" s="604"/>
      <c r="C156" s="168"/>
      <c r="D156" s="169">
        <f>TRUNC(SUM(D154:D155),2)</f>
        <v>6158.44</v>
      </c>
    </row>
    <row r="157" spans="1:4" ht="8.1" customHeight="1" thickBot="1" x14ac:dyDescent="0.3">
      <c r="A157" s="9"/>
      <c r="B157" s="10"/>
      <c r="C157" s="21"/>
      <c r="D157" s="11"/>
    </row>
    <row r="158" spans="1:4" ht="15.75" customHeight="1" thickBot="1" x14ac:dyDescent="0.3">
      <c r="A158" s="605" t="s">
        <v>891</v>
      </c>
      <c r="B158" s="470"/>
      <c r="C158" s="166"/>
      <c r="D158" s="167">
        <v>1</v>
      </c>
    </row>
    <row r="159" spans="1:4" ht="8.1" customHeight="1" thickBot="1" x14ac:dyDescent="0.3">
      <c r="A159" s="9"/>
      <c r="B159" s="10"/>
      <c r="C159" s="21"/>
      <c r="D159" s="11"/>
    </row>
    <row r="160" spans="1:4" ht="15.75" customHeight="1" thickBot="1" x14ac:dyDescent="0.35">
      <c r="A160" s="597" t="s">
        <v>892</v>
      </c>
      <c r="B160" s="598"/>
      <c r="C160" s="164"/>
      <c r="D160" s="165">
        <f>TRUNC(D156*D158,2)</f>
        <v>6158.44</v>
      </c>
    </row>
    <row r="161" spans="1:4" ht="15.95" customHeight="1" thickBot="1" x14ac:dyDescent="0.3"/>
    <row r="162" spans="1:4" ht="15.75" customHeight="1" thickBot="1" x14ac:dyDescent="0.35">
      <c r="A162" s="561" t="s">
        <v>893</v>
      </c>
      <c r="B162" s="562"/>
      <c r="C162" s="162"/>
      <c r="D162" s="163">
        <f>D156/D37</f>
        <v>2.8366821305562757</v>
      </c>
    </row>
    <row r="163" spans="1:4" ht="15.95" customHeight="1" thickBot="1" x14ac:dyDescent="0.3">
      <c r="A163" s="33"/>
      <c r="B163" s="33"/>
      <c r="C163" s="33"/>
    </row>
    <row r="164" spans="1:4" ht="15.75" customHeight="1" x14ac:dyDescent="0.3">
      <c r="A164" s="551" t="s">
        <v>894</v>
      </c>
      <c r="B164" s="551"/>
      <c r="C164" s="160"/>
      <c r="D164" s="161"/>
    </row>
    <row r="165" spans="1:4" ht="15" customHeight="1" thickBot="1" x14ac:dyDescent="0.3">
      <c r="A165" s="157"/>
      <c r="B165" s="157" t="s">
        <v>895</v>
      </c>
      <c r="C165" s="157"/>
      <c r="D165" s="158">
        <f>TRUNC(D156/C$18,2)</f>
        <v>293.25</v>
      </c>
    </row>
  </sheetData>
  <mergeCells count="65">
    <mergeCell ref="C15:D15"/>
    <mergeCell ref="C3:D3"/>
    <mergeCell ref="C4:D4"/>
    <mergeCell ref="C5:D5"/>
    <mergeCell ref="A7:B7"/>
    <mergeCell ref="C8:D8"/>
    <mergeCell ref="C9:D9"/>
    <mergeCell ref="C10:D10"/>
    <mergeCell ref="C11:D11"/>
    <mergeCell ref="C12:D12"/>
    <mergeCell ref="C13:D13"/>
    <mergeCell ref="C14:D14"/>
    <mergeCell ref="A33:B33"/>
    <mergeCell ref="C16:D16"/>
    <mergeCell ref="C17:D17"/>
    <mergeCell ref="C18:D18"/>
    <mergeCell ref="C19:D19"/>
    <mergeCell ref="C20:D20"/>
    <mergeCell ref="C21:D21"/>
    <mergeCell ref="C22:D22"/>
    <mergeCell ref="C23:D23"/>
    <mergeCell ref="A25:B25"/>
    <mergeCell ref="C25:D25"/>
    <mergeCell ref="A27:B27"/>
    <mergeCell ref="A76:B76"/>
    <mergeCell ref="A37:B37"/>
    <mergeCell ref="A38:B38"/>
    <mergeCell ref="A40:B40"/>
    <mergeCell ref="A42:B42"/>
    <mergeCell ref="A45:B45"/>
    <mergeCell ref="A46:B46"/>
    <mergeCell ref="A48:B48"/>
    <mergeCell ref="A58:B58"/>
    <mergeCell ref="A59:B59"/>
    <mergeCell ref="A61:B61"/>
    <mergeCell ref="A75:B75"/>
    <mergeCell ref="A114:B114"/>
    <mergeCell ref="A78:B78"/>
    <mergeCell ref="A82:B82"/>
    <mergeCell ref="A85:B85"/>
    <mergeCell ref="A94:B94"/>
    <mergeCell ref="A95:B95"/>
    <mergeCell ref="A97:B97"/>
    <mergeCell ref="A99:B99"/>
    <mergeCell ref="A101:B101"/>
    <mergeCell ref="A109:B109"/>
    <mergeCell ref="A111:B111"/>
    <mergeCell ref="A112:B112"/>
    <mergeCell ref="A154:B154"/>
    <mergeCell ref="A117:B117"/>
    <mergeCell ref="A118:B118"/>
    <mergeCell ref="A120:B120"/>
    <mergeCell ref="A123:B123"/>
    <mergeCell ref="A126:B126"/>
    <mergeCell ref="A131:B131"/>
    <mergeCell ref="A133:B133"/>
    <mergeCell ref="A135:B135"/>
    <mergeCell ref="A140:B140"/>
    <mergeCell ref="A146:B146"/>
    <mergeCell ref="A148:B148"/>
    <mergeCell ref="A156:B156"/>
    <mergeCell ref="A158:B158"/>
    <mergeCell ref="A160:B160"/>
    <mergeCell ref="A162:B162"/>
    <mergeCell ref="A164:B164"/>
  </mergeCells>
  <pageMargins left="0.70866141732283472" right="0.70866141732283472" top="0.74803149606299213" bottom="0.74803149606299213" header="0" footer="0"/>
  <pageSetup paperSize="9" scale="79" fitToHeight="0" orientation="portrait" r:id="rId1"/>
  <rowBreaks count="4" manualBreakCount="4">
    <brk id="38" max="3" man="1"/>
    <brk id="83" max="3" man="1"/>
    <brk id="90" max="16383" man="1"/>
    <brk id="124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E7CDC-09AB-49FF-AA88-6F407F7E2164}">
  <sheetPr>
    <tabColor theme="4" tint="-0.249977111117893"/>
    <outlinePr summaryBelow="0"/>
    <pageSetUpPr fitToPage="1"/>
  </sheetPr>
  <dimension ref="A1:D165"/>
  <sheetViews>
    <sheetView workbookViewId="0"/>
  </sheetViews>
  <sheetFormatPr defaultColWidth="14.42578125" defaultRowHeight="15" customHeight="1" x14ac:dyDescent="0.25"/>
  <cols>
    <col min="1" max="1" width="6.7109375" customWidth="1"/>
    <col min="2" max="2" width="64.7109375" customWidth="1"/>
    <col min="3" max="3" width="18.7109375" customWidth="1"/>
    <col min="4" max="4" width="18.7109375" style="33" customWidth="1"/>
    <col min="5" max="16384" width="14.42578125" style="159"/>
  </cols>
  <sheetData>
    <row r="1" spans="1:4" ht="40.5" customHeight="1" x14ac:dyDescent="0.25">
      <c r="A1" s="38"/>
      <c r="B1" s="313" t="s">
        <v>692</v>
      </c>
      <c r="C1" s="37"/>
      <c r="D1" s="37"/>
    </row>
    <row r="2" spans="1:4" ht="15.95" customHeight="1" thickBot="1" x14ac:dyDescent="0.3">
      <c r="A2" s="125"/>
      <c r="B2" s="42"/>
      <c r="C2" s="126"/>
      <c r="D2" s="127"/>
    </row>
    <row r="3" spans="1:4" ht="15" customHeight="1" x14ac:dyDescent="0.25">
      <c r="A3" s="192"/>
      <c r="B3" s="314" t="s">
        <v>693</v>
      </c>
      <c r="C3" s="552"/>
      <c r="D3" s="552"/>
    </row>
    <row r="4" spans="1:4" ht="15" customHeight="1" x14ac:dyDescent="0.25">
      <c r="A4" s="193"/>
      <c r="B4" s="274" t="s">
        <v>694</v>
      </c>
      <c r="C4" s="553"/>
      <c r="D4" s="553"/>
    </row>
    <row r="5" spans="1:4" ht="15.75" customHeight="1" thickBot="1" x14ac:dyDescent="0.3">
      <c r="A5" s="194"/>
      <c r="B5" s="195" t="s">
        <v>695</v>
      </c>
      <c r="C5" s="554"/>
      <c r="D5" s="554"/>
    </row>
    <row r="6" spans="1:4" ht="15.95" customHeight="1" thickBot="1" x14ac:dyDescent="0.3">
      <c r="A6" s="125"/>
      <c r="B6" s="42"/>
      <c r="C6" s="126"/>
      <c r="D6" s="127"/>
    </row>
    <row r="7" spans="1:4" ht="15" customHeight="1" x14ac:dyDescent="0.25">
      <c r="A7" s="563" t="s">
        <v>696</v>
      </c>
      <c r="B7" s="564"/>
      <c r="C7" s="128"/>
      <c r="D7" s="129"/>
    </row>
    <row r="8" spans="1:4" ht="15" customHeight="1" x14ac:dyDescent="0.25">
      <c r="A8" s="45" t="s">
        <v>697</v>
      </c>
      <c r="B8" s="263" t="s">
        <v>698</v>
      </c>
      <c r="C8" s="555"/>
      <c r="D8" s="555"/>
    </row>
    <row r="9" spans="1:4" ht="15" customHeight="1" x14ac:dyDescent="0.25">
      <c r="A9" s="45" t="s">
        <v>699</v>
      </c>
      <c r="B9" s="263" t="s">
        <v>700</v>
      </c>
      <c r="C9" s="555" t="str">
        <f>'DADOS CCT'!B4</f>
        <v>SANTA MARIA</v>
      </c>
      <c r="D9" s="555"/>
    </row>
    <row r="10" spans="1:4" ht="15" customHeight="1" x14ac:dyDescent="0.25">
      <c r="A10" s="45" t="s">
        <v>701</v>
      </c>
      <c r="B10" s="263" t="s">
        <v>702</v>
      </c>
      <c r="C10" s="555" t="str">
        <f>'DADOS CCT'!C4&amp;" - "&amp;'DADOS CCT'!D5</f>
        <v>SINTEPS/RS - RS000042/2024</v>
      </c>
      <c r="D10" s="555"/>
    </row>
    <row r="11" spans="1:4" ht="15" customHeight="1" x14ac:dyDescent="0.25">
      <c r="A11" s="45" t="s">
        <v>703</v>
      </c>
      <c r="B11" s="263" t="s">
        <v>704</v>
      </c>
      <c r="C11" s="556">
        <v>12</v>
      </c>
      <c r="D11" s="556"/>
    </row>
    <row r="12" spans="1:4" ht="15" customHeight="1" x14ac:dyDescent="0.25">
      <c r="A12" s="45" t="s">
        <v>705</v>
      </c>
      <c r="B12" s="263" t="s">
        <v>706</v>
      </c>
      <c r="C12" s="557">
        <f>'DADOS CCT'!D6</f>
        <v>45292</v>
      </c>
      <c r="D12" s="557"/>
    </row>
    <row r="13" spans="1:4" ht="29.25" customHeight="1" x14ac:dyDescent="0.25">
      <c r="A13" s="45" t="s">
        <v>707</v>
      </c>
      <c r="B13" s="315" t="s">
        <v>708</v>
      </c>
      <c r="C13" s="558" t="s">
        <v>709</v>
      </c>
      <c r="D13" s="558"/>
    </row>
    <row r="14" spans="1:4" x14ac:dyDescent="0.25">
      <c r="A14" s="130" t="s">
        <v>710</v>
      </c>
      <c r="B14" s="131" t="s">
        <v>711</v>
      </c>
      <c r="C14" s="559" t="s">
        <v>712</v>
      </c>
      <c r="D14" s="559"/>
    </row>
    <row r="15" spans="1:4" x14ac:dyDescent="0.25">
      <c r="A15" s="130" t="s">
        <v>713</v>
      </c>
      <c r="B15" s="131" t="s">
        <v>714</v>
      </c>
      <c r="C15" s="559" t="s">
        <v>897</v>
      </c>
      <c r="D15" s="559"/>
    </row>
    <row r="16" spans="1:4" x14ac:dyDescent="0.25">
      <c r="A16" s="130" t="s">
        <v>716</v>
      </c>
      <c r="B16" s="131" t="s">
        <v>717</v>
      </c>
      <c r="C16" s="559" t="str">
        <f ca="1">RIGHT(CELL("nome.arquivo",A1),LEN(CELL("nome.arquivo",A1))-SEARCH("]",CELL("nome.arquivo",A1)))</f>
        <v>5143-20 AUX.LB 5x2 DIURNO SM</v>
      </c>
      <c r="D16" s="559"/>
    </row>
    <row r="17" spans="1:4" x14ac:dyDescent="0.25">
      <c r="A17" s="130" t="s">
        <v>718</v>
      </c>
      <c r="B17" s="131" t="s">
        <v>719</v>
      </c>
      <c r="C17" s="560" t="s">
        <v>1194</v>
      </c>
      <c r="D17" s="560"/>
    </row>
    <row r="18" spans="1:4" x14ac:dyDescent="0.25">
      <c r="A18" s="130" t="s">
        <v>721</v>
      </c>
      <c r="B18" s="131" t="s">
        <v>722</v>
      </c>
      <c r="C18" s="560">
        <v>21</v>
      </c>
      <c r="D18" s="560"/>
    </row>
    <row r="19" spans="1:4" ht="15.75" customHeight="1" x14ac:dyDescent="0.25">
      <c r="A19" s="130" t="s">
        <v>723</v>
      </c>
      <c r="B19" s="131" t="s">
        <v>724</v>
      </c>
      <c r="C19" s="560">
        <f>'DADOS CCT'!D7</f>
        <v>1540.51</v>
      </c>
      <c r="D19" s="560"/>
    </row>
    <row r="20" spans="1:4" ht="15.75" customHeight="1" x14ac:dyDescent="0.25">
      <c r="A20" s="130" t="s">
        <v>725</v>
      </c>
      <c r="B20" s="132" t="s">
        <v>726</v>
      </c>
      <c r="C20" s="573">
        <f>C19/220</f>
        <v>7.0023181818181817</v>
      </c>
      <c r="D20" s="573"/>
    </row>
    <row r="21" spans="1:4" ht="15.75" customHeight="1" x14ac:dyDescent="0.25">
      <c r="A21" s="130" t="s">
        <v>727</v>
      </c>
      <c r="B21" s="132" t="s">
        <v>728</v>
      </c>
      <c r="C21" s="573">
        <f>C20*1.5</f>
        <v>10.503477272727272</v>
      </c>
      <c r="D21" s="573"/>
    </row>
    <row r="22" spans="1:4" ht="15.75" customHeight="1" x14ac:dyDescent="0.25">
      <c r="A22" s="130" t="s">
        <v>729</v>
      </c>
      <c r="B22" s="132" t="s">
        <v>730</v>
      </c>
      <c r="C22" s="573">
        <f>C20*2</f>
        <v>14.004636363636363</v>
      </c>
      <c r="D22" s="573"/>
    </row>
    <row r="23" spans="1:4" ht="15.75" customHeight="1" thickBot="1" x14ac:dyDescent="0.3">
      <c r="A23" s="133" t="s">
        <v>731</v>
      </c>
      <c r="B23" s="134" t="s">
        <v>732</v>
      </c>
      <c r="C23" s="574">
        <f>C20*0.2</f>
        <v>1.4004636363636365</v>
      </c>
      <c r="D23" s="574"/>
    </row>
    <row r="24" spans="1:4" ht="15.95" customHeight="1" thickBot="1" x14ac:dyDescent="0.3">
      <c r="A24" s="125"/>
      <c r="B24" s="42"/>
      <c r="C24" s="126"/>
      <c r="D24" s="127"/>
    </row>
    <row r="25" spans="1:4" ht="15.75" thickBot="1" x14ac:dyDescent="0.3">
      <c r="A25" s="565"/>
      <c r="B25" s="566"/>
      <c r="C25" s="567" t="str">
        <f>'DADOS CCT'!D3</f>
        <v>00 - VALOR ESTIMADO</v>
      </c>
      <c r="D25" s="568"/>
    </row>
    <row r="26" spans="1:4" ht="6" customHeight="1" thickBot="1" x14ac:dyDescent="0.3">
      <c r="A26" s="4"/>
      <c r="B26" s="1"/>
      <c r="C26" s="5"/>
      <c r="D26" s="6"/>
    </row>
    <row r="27" spans="1:4" ht="18" customHeight="1" x14ac:dyDescent="0.25">
      <c r="A27" s="569" t="s">
        <v>733</v>
      </c>
      <c r="B27" s="570"/>
      <c r="C27" s="190"/>
      <c r="D27" s="191" t="s">
        <v>734</v>
      </c>
    </row>
    <row r="28" spans="1:4" ht="15.75" customHeight="1" x14ac:dyDescent="0.25">
      <c r="A28" s="45" t="s">
        <v>735</v>
      </c>
      <c r="B28" s="46" t="s">
        <v>736</v>
      </c>
      <c r="C28" s="135">
        <v>200</v>
      </c>
      <c r="D28" s="28">
        <f>C28*C19/220</f>
        <v>1400.4636363636364</v>
      </c>
    </row>
    <row r="29" spans="1:4" ht="15.75" customHeight="1" x14ac:dyDescent="0.25">
      <c r="A29" s="45" t="s">
        <v>737</v>
      </c>
      <c r="B29" s="46" t="s">
        <v>738</v>
      </c>
      <c r="C29" s="136"/>
      <c r="D29" s="28">
        <f>D$28*C29</f>
        <v>0</v>
      </c>
    </row>
    <row r="30" spans="1:4" ht="15.75" customHeight="1" x14ac:dyDescent="0.25">
      <c r="A30" s="45" t="s">
        <v>739</v>
      </c>
      <c r="B30" s="46" t="s">
        <v>740</v>
      </c>
      <c r="C30" s="136">
        <v>0.4</v>
      </c>
      <c r="D30" s="208">
        <f>C30*C19</f>
        <v>616.20400000000006</v>
      </c>
    </row>
    <row r="31" spans="1:4" ht="15.75" customHeight="1" x14ac:dyDescent="0.25">
      <c r="A31" s="45" t="s">
        <v>741</v>
      </c>
      <c r="B31" s="46" t="s">
        <v>742</v>
      </c>
      <c r="C31" s="28"/>
      <c r="D31" s="28">
        <f>(D28/C28)*0.2*C31*(60/52.5)</f>
        <v>0</v>
      </c>
    </row>
    <row r="32" spans="1:4" ht="15.75" customHeight="1" x14ac:dyDescent="0.25">
      <c r="A32" s="45" t="s">
        <v>743</v>
      </c>
      <c r="B32" s="46" t="s">
        <v>744</v>
      </c>
      <c r="C32" s="28"/>
      <c r="D32" s="28">
        <f>(D28/C28)*1.5*C32</f>
        <v>0</v>
      </c>
    </row>
    <row r="33" spans="1:4" ht="15.75" customHeight="1" x14ac:dyDescent="0.25">
      <c r="A33" s="571" t="s">
        <v>745</v>
      </c>
      <c r="B33" s="572"/>
      <c r="C33" s="184"/>
      <c r="D33" s="185">
        <f>SUM(D28:D32)</f>
        <v>2016.6676363636366</v>
      </c>
    </row>
    <row r="34" spans="1:4" ht="15.75" customHeight="1" x14ac:dyDescent="0.25">
      <c r="A34" s="45" t="s">
        <v>746</v>
      </c>
      <c r="B34" s="46" t="s">
        <v>747</v>
      </c>
      <c r="C34" s="28"/>
      <c r="D34" s="28">
        <f>15*C34*(D28/C28)*1.5</f>
        <v>0</v>
      </c>
    </row>
    <row r="35" spans="1:4" ht="15.75" customHeight="1" x14ac:dyDescent="0.25">
      <c r="A35" s="45" t="s">
        <v>748</v>
      </c>
      <c r="B35" s="46" t="s">
        <v>749</v>
      </c>
      <c r="C35" s="139">
        <f>'DADOS CCT'!D12</f>
        <v>0</v>
      </c>
      <c r="D35" s="28">
        <f>D28*C35</f>
        <v>0</v>
      </c>
    </row>
    <row r="36" spans="1:4" ht="15.75" customHeight="1" x14ac:dyDescent="0.25">
      <c r="A36" s="45" t="s">
        <v>750</v>
      </c>
      <c r="B36" s="46" t="s">
        <v>751</v>
      </c>
      <c r="C36" s="136"/>
      <c r="D36" s="28">
        <f>D$28*C36</f>
        <v>0</v>
      </c>
    </row>
    <row r="37" spans="1:4" ht="15.75" customHeight="1" thickBot="1" x14ac:dyDescent="0.3">
      <c r="A37" s="575" t="s">
        <v>752</v>
      </c>
      <c r="B37" s="576"/>
      <c r="C37" s="188"/>
      <c r="D37" s="189">
        <f>SUM(D33:D36)</f>
        <v>2016.6676363636366</v>
      </c>
    </row>
    <row r="38" spans="1:4" ht="24" customHeight="1" x14ac:dyDescent="0.25">
      <c r="A38" s="577" t="s">
        <v>1233</v>
      </c>
      <c r="B38" s="578"/>
      <c r="C38" s="8"/>
      <c r="D38" s="127"/>
    </row>
    <row r="39" spans="1:4" ht="8.1" customHeight="1" thickBot="1" x14ac:dyDescent="0.3">
      <c r="A39" s="7"/>
      <c r="B39" s="16"/>
      <c r="C39" s="8"/>
      <c r="D39" s="127"/>
    </row>
    <row r="40" spans="1:4" ht="18" customHeight="1" x14ac:dyDescent="0.25">
      <c r="A40" s="579" t="s">
        <v>753</v>
      </c>
      <c r="B40" s="580"/>
      <c r="C40" s="142"/>
      <c r="D40" s="187"/>
    </row>
    <row r="41" spans="1:4" ht="6" customHeight="1" x14ac:dyDescent="0.25">
      <c r="A41" s="125"/>
      <c r="B41" s="42"/>
      <c r="C41" s="126"/>
      <c r="D41" s="127"/>
    </row>
    <row r="42" spans="1:4" ht="15.75" customHeight="1" x14ac:dyDescent="0.25">
      <c r="A42" s="581" t="s">
        <v>754</v>
      </c>
      <c r="B42" s="572"/>
      <c r="C42" s="182"/>
      <c r="D42" s="183" t="s">
        <v>734</v>
      </c>
    </row>
    <row r="43" spans="1:4" ht="15" customHeight="1" x14ac:dyDescent="0.25">
      <c r="A43" s="45" t="s">
        <v>755</v>
      </c>
      <c r="B43" s="46" t="s">
        <v>756</v>
      </c>
      <c r="C43" s="136">
        <v>8.3299999999999999E-2</v>
      </c>
      <c r="D43" s="28">
        <f>D$33*C43</f>
        <v>167.98841410909091</v>
      </c>
    </row>
    <row r="44" spans="1:4" ht="15" customHeight="1" x14ac:dyDescent="0.25">
      <c r="A44" s="45" t="s">
        <v>757</v>
      </c>
      <c r="B44" s="46" t="s">
        <v>758</v>
      </c>
      <c r="C44" s="143">
        <v>3.0249999999999999E-2</v>
      </c>
      <c r="D44" s="28">
        <f>D$33*C44</f>
        <v>61.004196000000007</v>
      </c>
    </row>
    <row r="45" spans="1:4" ht="15.75" customHeight="1" x14ac:dyDescent="0.25">
      <c r="A45" s="582" t="s">
        <v>752</v>
      </c>
      <c r="B45" s="572"/>
      <c r="C45" s="186"/>
      <c r="D45" s="185">
        <f>SUM(D43:D44)</f>
        <v>228.99261010909092</v>
      </c>
    </row>
    <row r="46" spans="1:4" ht="37.5" customHeight="1" x14ac:dyDescent="0.25">
      <c r="A46" s="583" t="s">
        <v>759</v>
      </c>
      <c r="B46" s="584"/>
      <c r="C46" s="141"/>
      <c r="D46" s="41"/>
    </row>
    <row r="47" spans="1:4" ht="8.1" customHeight="1" x14ac:dyDescent="0.25">
      <c r="A47" s="125"/>
      <c r="B47" s="33"/>
      <c r="C47" s="126"/>
      <c r="D47" s="127"/>
    </row>
    <row r="48" spans="1:4" ht="15.75" customHeight="1" x14ac:dyDescent="0.25">
      <c r="A48" s="581" t="s">
        <v>760</v>
      </c>
      <c r="B48" s="572"/>
      <c r="C48" s="182"/>
      <c r="D48" s="183" t="s">
        <v>734</v>
      </c>
    </row>
    <row r="49" spans="1:4" ht="15" customHeight="1" x14ac:dyDescent="0.25">
      <c r="A49" s="45" t="s">
        <v>761</v>
      </c>
      <c r="B49" s="46" t="s">
        <v>762</v>
      </c>
      <c r="C49" s="136">
        <v>0.2</v>
      </c>
      <c r="D49" s="28">
        <f t="shared" ref="D49:D57" si="0">(D$33+D$45)*C49</f>
        <v>449.13204929454554</v>
      </c>
    </row>
    <row r="50" spans="1:4" ht="15" customHeight="1" x14ac:dyDescent="0.25">
      <c r="A50" s="45" t="s">
        <v>763</v>
      </c>
      <c r="B50" s="46" t="s">
        <v>764</v>
      </c>
      <c r="C50" s="136">
        <v>2.5000000000000001E-2</v>
      </c>
      <c r="D50" s="28">
        <f t="shared" si="0"/>
        <v>56.141506161818192</v>
      </c>
    </row>
    <row r="51" spans="1:4" ht="15" customHeight="1" x14ac:dyDescent="0.25">
      <c r="A51" s="45" t="s">
        <v>765</v>
      </c>
      <c r="B51" s="46" t="s">
        <v>766</v>
      </c>
      <c r="C51" s="144">
        <f>'DADOS CCT'!D$22*'DADOS CCT'!D$23</f>
        <v>0.06</v>
      </c>
      <c r="D51" s="28">
        <f t="shared" si="0"/>
        <v>134.73961478836364</v>
      </c>
    </row>
    <row r="52" spans="1:4" ht="15" customHeight="1" x14ac:dyDescent="0.25">
      <c r="A52" s="45" t="s">
        <v>767</v>
      </c>
      <c r="B52" s="46" t="s">
        <v>768</v>
      </c>
      <c r="C52" s="136">
        <v>1.4999999999999999E-2</v>
      </c>
      <c r="D52" s="28">
        <f t="shared" si="0"/>
        <v>33.68490369709091</v>
      </c>
    </row>
    <row r="53" spans="1:4" ht="15" customHeight="1" x14ac:dyDescent="0.25">
      <c r="A53" s="45" t="s">
        <v>769</v>
      </c>
      <c r="B53" s="46" t="s">
        <v>770</v>
      </c>
      <c r="C53" s="136">
        <v>0.01</v>
      </c>
      <c r="D53" s="28">
        <f t="shared" si="0"/>
        <v>22.456602464727276</v>
      </c>
    </row>
    <row r="54" spans="1:4" ht="15" customHeight="1" x14ac:dyDescent="0.25">
      <c r="A54" s="45" t="s">
        <v>771</v>
      </c>
      <c r="B54" s="46" t="s">
        <v>772</v>
      </c>
      <c r="C54" s="136">
        <v>6.0000000000000001E-3</v>
      </c>
      <c r="D54" s="28">
        <f t="shared" si="0"/>
        <v>13.473961478836365</v>
      </c>
    </row>
    <row r="55" spans="1:4" ht="15" customHeight="1" x14ac:dyDescent="0.25">
      <c r="A55" s="45" t="s">
        <v>773</v>
      </c>
      <c r="B55" s="46" t="s">
        <v>774</v>
      </c>
      <c r="C55" s="136">
        <v>2E-3</v>
      </c>
      <c r="D55" s="28">
        <f t="shared" si="0"/>
        <v>4.4913204929454551</v>
      </c>
    </row>
    <row r="56" spans="1:4" ht="15" customHeight="1" x14ac:dyDescent="0.25">
      <c r="A56" s="45" t="s">
        <v>775</v>
      </c>
      <c r="B56" s="46" t="s">
        <v>776</v>
      </c>
      <c r="C56" s="136">
        <v>0.08</v>
      </c>
      <c r="D56" s="28">
        <f t="shared" si="0"/>
        <v>179.6528197178182</v>
      </c>
    </row>
    <row r="57" spans="1:4" ht="15" customHeight="1" x14ac:dyDescent="0.25">
      <c r="A57" s="45" t="s">
        <v>777</v>
      </c>
      <c r="B57" s="46" t="s">
        <v>778</v>
      </c>
      <c r="C57" s="136"/>
      <c r="D57" s="28">
        <f t="shared" si="0"/>
        <v>0</v>
      </c>
    </row>
    <row r="58" spans="1:4" ht="15.75" customHeight="1" x14ac:dyDescent="0.25">
      <c r="A58" s="585" t="s">
        <v>752</v>
      </c>
      <c r="B58" s="412"/>
      <c r="C58" s="137">
        <f>SUM(C49:C50,C51:C57)</f>
        <v>0.39800000000000008</v>
      </c>
      <c r="D58" s="138">
        <f>SUM(D49:D57)</f>
        <v>893.77277809614566</v>
      </c>
    </row>
    <row r="59" spans="1:4" ht="20.25" customHeight="1" x14ac:dyDescent="0.25">
      <c r="A59" s="583" t="s">
        <v>779</v>
      </c>
      <c r="B59" s="586"/>
      <c r="C59" s="141"/>
      <c r="D59" s="41"/>
    </row>
    <row r="60" spans="1:4" ht="8.1" customHeight="1" x14ac:dyDescent="0.25">
      <c r="A60" s="125"/>
      <c r="B60" s="33"/>
      <c r="C60" s="140"/>
      <c r="D60" s="127"/>
    </row>
    <row r="61" spans="1:4" ht="15.75" customHeight="1" x14ac:dyDescent="0.25">
      <c r="A61" s="581" t="s">
        <v>780</v>
      </c>
      <c r="B61" s="572"/>
      <c r="C61" s="182"/>
      <c r="D61" s="183" t="s">
        <v>734</v>
      </c>
    </row>
    <row r="62" spans="1:4" ht="15.75" customHeight="1" x14ac:dyDescent="0.25">
      <c r="A62" s="45" t="s">
        <v>781</v>
      </c>
      <c r="B62" s="46" t="s">
        <v>782</v>
      </c>
      <c r="C62" s="145"/>
      <c r="D62" s="138">
        <f>((C63*C64*C65)-D66)*C67</f>
        <v>125.97218181818182</v>
      </c>
    </row>
    <row r="63" spans="1:4" ht="15.75" customHeight="1" x14ac:dyDescent="0.25">
      <c r="A63" s="45" t="s">
        <v>783</v>
      </c>
      <c r="B63" s="46" t="s">
        <v>784</v>
      </c>
      <c r="C63" s="146">
        <f>'DADOS CCT'!D13</f>
        <v>5</v>
      </c>
      <c r="D63" s="28">
        <v>0</v>
      </c>
    </row>
    <row r="64" spans="1:4" ht="15.75" customHeight="1" x14ac:dyDescent="0.25">
      <c r="A64" s="45" t="s">
        <v>785</v>
      </c>
      <c r="B64" s="46" t="s">
        <v>786</v>
      </c>
      <c r="C64" s="28">
        <v>2</v>
      </c>
      <c r="D64" s="28">
        <v>0</v>
      </c>
    </row>
    <row r="65" spans="1:4" ht="15.75" customHeight="1" x14ac:dyDescent="0.25">
      <c r="A65" s="45" t="s">
        <v>787</v>
      </c>
      <c r="B65" s="46" t="s">
        <v>788</v>
      </c>
      <c r="C65" s="147">
        <f>C$18</f>
        <v>21</v>
      </c>
      <c r="D65" s="28">
        <v>0</v>
      </c>
    </row>
    <row r="66" spans="1:4" ht="15.75" customHeight="1" x14ac:dyDescent="0.25">
      <c r="A66" s="45" t="s">
        <v>789</v>
      </c>
      <c r="B66" s="46" t="s">
        <v>790</v>
      </c>
      <c r="C66" s="136">
        <v>0.06</v>
      </c>
      <c r="D66" s="28">
        <f>C66*D$28</f>
        <v>84.027818181818176</v>
      </c>
    </row>
    <row r="67" spans="1:4" ht="15.75" customHeight="1" x14ac:dyDescent="0.25">
      <c r="A67" s="45" t="s">
        <v>791</v>
      </c>
      <c r="B67" s="46" t="s">
        <v>792</v>
      </c>
      <c r="C67" s="144">
        <f>'DADOS CCT'!D14</f>
        <v>1</v>
      </c>
      <c r="D67" s="28">
        <v>0</v>
      </c>
    </row>
    <row r="68" spans="1:4" ht="15.75" customHeight="1" x14ac:dyDescent="0.25">
      <c r="A68" s="45" t="s">
        <v>793</v>
      </c>
      <c r="B68" s="46" t="s">
        <v>794</v>
      </c>
      <c r="C68" s="136"/>
      <c r="D68" s="138">
        <f>(C69*C70)-D71</f>
        <v>402.79679999999996</v>
      </c>
    </row>
    <row r="69" spans="1:4" ht="15.75" customHeight="1" x14ac:dyDescent="0.25">
      <c r="A69" s="45" t="s">
        <v>795</v>
      </c>
      <c r="B69" s="46" t="s">
        <v>796</v>
      </c>
      <c r="C69" s="146">
        <f>'DADOS CCT'!D15</f>
        <v>23.68</v>
      </c>
      <c r="D69" s="28">
        <v>0</v>
      </c>
    </row>
    <row r="70" spans="1:4" ht="15.75" customHeight="1" x14ac:dyDescent="0.25">
      <c r="A70" s="45" t="s">
        <v>797</v>
      </c>
      <c r="B70" s="46" t="s">
        <v>798</v>
      </c>
      <c r="C70" s="147">
        <f>C$18</f>
        <v>21</v>
      </c>
      <c r="D70" s="28">
        <v>0</v>
      </c>
    </row>
    <row r="71" spans="1:4" ht="15.75" customHeight="1" x14ac:dyDescent="0.25">
      <c r="A71" s="45" t="s">
        <v>799</v>
      </c>
      <c r="B71" s="46" t="s">
        <v>800</v>
      </c>
      <c r="C71" s="144">
        <f>'DADOS CCT'!D17</f>
        <v>0.19</v>
      </c>
      <c r="D71" s="28">
        <f>(C69*C70)*C71</f>
        <v>94.483199999999997</v>
      </c>
    </row>
    <row r="72" spans="1:4" ht="15.75" customHeight="1" x14ac:dyDescent="0.25">
      <c r="A72" s="45" t="s">
        <v>801</v>
      </c>
      <c r="B72" s="46" t="s">
        <v>802</v>
      </c>
      <c r="C72" s="136"/>
      <c r="D72" s="208">
        <f>'DADOS CCT'!D$18</f>
        <v>19.420000000000002</v>
      </c>
    </row>
    <row r="73" spans="1:4" ht="15.75" customHeight="1" x14ac:dyDescent="0.25">
      <c r="A73" s="45" t="s">
        <v>803</v>
      </c>
      <c r="B73" s="46" t="s">
        <v>804</v>
      </c>
      <c r="C73" s="136"/>
      <c r="D73" s="28">
        <v>0</v>
      </c>
    </row>
    <row r="74" spans="1:4" ht="15.75" customHeight="1" x14ac:dyDescent="0.25">
      <c r="A74" s="45" t="s">
        <v>805</v>
      </c>
      <c r="B74" s="46" t="s">
        <v>778</v>
      </c>
      <c r="C74" s="136"/>
      <c r="D74" s="28">
        <v>0</v>
      </c>
    </row>
    <row r="75" spans="1:4" ht="15.75" customHeight="1" x14ac:dyDescent="0.25">
      <c r="A75" s="582" t="s">
        <v>752</v>
      </c>
      <c r="B75" s="572"/>
      <c r="C75" s="184"/>
      <c r="D75" s="185">
        <f>SUM(D62,D68,D72:D74)</f>
        <v>548.18898181818179</v>
      </c>
    </row>
    <row r="76" spans="1:4" ht="38.25" customHeight="1" x14ac:dyDescent="0.25">
      <c r="A76" s="583" t="s">
        <v>1102</v>
      </c>
      <c r="B76" s="586"/>
      <c r="C76" s="40"/>
      <c r="D76" s="41"/>
    </row>
    <row r="77" spans="1:4" ht="8.1" customHeight="1" x14ac:dyDescent="0.25">
      <c r="A77" s="125"/>
      <c r="B77" s="33"/>
      <c r="C77" s="140"/>
      <c r="D77" s="127"/>
    </row>
    <row r="78" spans="1:4" ht="15.75" customHeight="1" x14ac:dyDescent="0.25">
      <c r="A78" s="581" t="s">
        <v>806</v>
      </c>
      <c r="B78" s="572"/>
      <c r="C78" s="182"/>
      <c r="D78" s="183" t="s">
        <v>734</v>
      </c>
    </row>
    <row r="79" spans="1:4" ht="15.75" customHeight="1" x14ac:dyDescent="0.25">
      <c r="A79" s="45" t="s">
        <v>807</v>
      </c>
      <c r="B79" s="46" t="s">
        <v>808</v>
      </c>
      <c r="C79" s="136"/>
      <c r="D79" s="28">
        <f>D45</f>
        <v>228.99261010909092</v>
      </c>
    </row>
    <row r="80" spans="1:4" ht="15.75" customHeight="1" x14ac:dyDescent="0.25">
      <c r="A80" s="45" t="s">
        <v>809</v>
      </c>
      <c r="B80" s="46" t="s">
        <v>810</v>
      </c>
      <c r="C80" s="28"/>
      <c r="D80" s="28">
        <f>D58</f>
        <v>893.77277809614566</v>
      </c>
    </row>
    <row r="81" spans="1:4" ht="15.75" customHeight="1" x14ac:dyDescent="0.25">
      <c r="A81" s="45" t="s">
        <v>811</v>
      </c>
      <c r="B81" s="46" t="s">
        <v>812</v>
      </c>
      <c r="C81" s="28"/>
      <c r="D81" s="28">
        <f>D75</f>
        <v>548.18898181818179</v>
      </c>
    </row>
    <row r="82" spans="1:4" ht="15.75" customHeight="1" thickBot="1" x14ac:dyDescent="0.3">
      <c r="A82" s="589" t="s">
        <v>752</v>
      </c>
      <c r="B82" s="590"/>
      <c r="C82" s="180"/>
      <c r="D82" s="181">
        <f>SUM(D79:D81)</f>
        <v>1670.9543700234185</v>
      </c>
    </row>
    <row r="83" spans="1:4" ht="8.1" customHeight="1" x14ac:dyDescent="0.25">
      <c r="A83" s="148"/>
      <c r="B83" s="149"/>
      <c r="C83" s="40"/>
      <c r="D83" s="41"/>
    </row>
    <row r="84" spans="1:4" ht="8.1" customHeight="1" thickBot="1" x14ac:dyDescent="0.3">
      <c r="A84" s="4"/>
      <c r="B84" s="1"/>
      <c r="C84" s="22"/>
      <c r="D84" s="6"/>
    </row>
    <row r="85" spans="1:4" ht="18" customHeight="1" x14ac:dyDescent="0.25">
      <c r="A85" s="591" t="s">
        <v>813</v>
      </c>
      <c r="B85" s="592"/>
      <c r="C85" s="12"/>
      <c r="D85" s="150" t="s">
        <v>734</v>
      </c>
    </row>
    <row r="86" spans="1:4" ht="15.75" customHeight="1" x14ac:dyDescent="0.25">
      <c r="A86" s="209" t="s">
        <v>814</v>
      </c>
      <c r="B86" s="210" t="s">
        <v>815</v>
      </c>
      <c r="C86" s="211">
        <v>0.05</v>
      </c>
      <c r="D86" s="212">
        <f>(D$33/$C$11)*C86*C89</f>
        <v>8.4027818181818201</v>
      </c>
    </row>
    <row r="87" spans="1:4" ht="15.75" customHeight="1" x14ac:dyDescent="0.25">
      <c r="A87" s="209" t="s">
        <v>816</v>
      </c>
      <c r="B87" s="210" t="s">
        <v>817</v>
      </c>
      <c r="C87" s="211">
        <f>C56</f>
        <v>0.08</v>
      </c>
      <c r="D87" s="212">
        <f>D86*C87</f>
        <v>0.67222254545454563</v>
      </c>
    </row>
    <row r="88" spans="1:4" ht="15.75" customHeight="1" x14ac:dyDescent="0.25">
      <c r="A88" s="209" t="s">
        <v>818</v>
      </c>
      <c r="B88" s="210" t="s">
        <v>819</v>
      </c>
      <c r="C88" s="211">
        <v>0.04</v>
      </c>
      <c r="D88" s="212">
        <f>D$33*C88</f>
        <v>80.666705454545465</v>
      </c>
    </row>
    <row r="89" spans="1:4" ht="15.75" customHeight="1" x14ac:dyDescent="0.25">
      <c r="A89" s="213" t="s">
        <v>820</v>
      </c>
      <c r="B89" s="214" t="s">
        <v>821</v>
      </c>
      <c r="C89" s="215">
        <v>1</v>
      </c>
      <c r="D89" s="216">
        <v>0</v>
      </c>
    </row>
    <row r="90" spans="1:4" ht="15.75" customHeight="1" x14ac:dyDescent="0.25">
      <c r="A90" s="18" t="s">
        <v>822</v>
      </c>
      <c r="B90" s="13" t="s">
        <v>823</v>
      </c>
      <c r="C90" s="15">
        <v>0.9</v>
      </c>
      <c r="D90" s="14">
        <f>(((D$33/30)*7)/12)*C90*C93</f>
        <v>35.291683636363636</v>
      </c>
    </row>
    <row r="91" spans="1:4" ht="15.75" customHeight="1" x14ac:dyDescent="0.25">
      <c r="A91" s="18" t="s">
        <v>820</v>
      </c>
      <c r="B91" s="13" t="s">
        <v>824</v>
      </c>
      <c r="C91" s="15">
        <f>C58</f>
        <v>0.39800000000000008</v>
      </c>
      <c r="D91" s="14">
        <f>D90*C91</f>
        <v>14.046090087272731</v>
      </c>
    </row>
    <row r="92" spans="1:4" ht="15.75" customHeight="1" x14ac:dyDescent="0.25">
      <c r="A92" s="18" t="s">
        <v>822</v>
      </c>
      <c r="B92" s="13" t="s">
        <v>825</v>
      </c>
      <c r="C92" s="17">
        <v>3.8080000000000003E-2</v>
      </c>
      <c r="D92" s="14">
        <f>D$33*C92</f>
        <v>76.794703592727288</v>
      </c>
    </row>
    <row r="93" spans="1:4" ht="15.75" customHeight="1" x14ac:dyDescent="0.25">
      <c r="A93" s="66" t="s">
        <v>826</v>
      </c>
      <c r="B93" s="34" t="s">
        <v>827</v>
      </c>
      <c r="C93" s="67">
        <v>1</v>
      </c>
      <c r="D93" s="35">
        <v>0</v>
      </c>
    </row>
    <row r="94" spans="1:4" ht="15.75" customHeight="1" thickBot="1" x14ac:dyDescent="0.3">
      <c r="A94" s="593" t="s">
        <v>752</v>
      </c>
      <c r="B94" s="594"/>
      <c r="C94" s="172"/>
      <c r="D94" s="173">
        <f>SUM(D86:D88,D90:D92)</f>
        <v>215.87418713454548</v>
      </c>
    </row>
    <row r="95" spans="1:4" ht="53.25" customHeight="1" x14ac:dyDescent="0.25">
      <c r="A95" s="577" t="s">
        <v>828</v>
      </c>
      <c r="B95" s="578"/>
      <c r="C95" s="3"/>
      <c r="D95" s="41"/>
    </row>
    <row r="96" spans="1:4" ht="15.95" customHeight="1" thickBot="1" x14ac:dyDescent="0.3">
      <c r="A96" s="4"/>
      <c r="B96" s="1"/>
      <c r="C96" s="22"/>
      <c r="D96" s="6"/>
    </row>
    <row r="97" spans="1:4" ht="18" customHeight="1" x14ac:dyDescent="0.25">
      <c r="A97" s="591" t="s">
        <v>829</v>
      </c>
      <c r="B97" s="592"/>
      <c r="C97" s="12"/>
      <c r="D97" s="150" t="s">
        <v>734</v>
      </c>
    </row>
    <row r="98" spans="1:4" ht="8.1" customHeight="1" x14ac:dyDescent="0.25">
      <c r="A98" s="7"/>
      <c r="C98" s="8"/>
      <c r="D98" s="127"/>
    </row>
    <row r="99" spans="1:4" ht="15.75" customHeight="1" x14ac:dyDescent="0.25">
      <c r="A99" s="587" t="s">
        <v>830</v>
      </c>
      <c r="B99" s="588"/>
      <c r="C99" s="151"/>
      <c r="D99" s="152">
        <f>SUM(D33,D45,D102)</f>
        <v>2428.6728344727276</v>
      </c>
    </row>
    <row r="100" spans="1:4" ht="8.1" customHeight="1" x14ac:dyDescent="0.25">
      <c r="A100" s="7"/>
      <c r="C100" s="8"/>
      <c r="D100" s="127"/>
    </row>
    <row r="101" spans="1:4" ht="15.75" customHeight="1" x14ac:dyDescent="0.25">
      <c r="A101" s="587" t="s">
        <v>831</v>
      </c>
      <c r="B101" s="588"/>
      <c r="C101" s="151"/>
      <c r="D101" s="152" t="s">
        <v>734</v>
      </c>
    </row>
    <row r="102" spans="1:4" ht="15.75" customHeight="1" x14ac:dyDescent="0.25">
      <c r="A102" s="18" t="s">
        <v>832</v>
      </c>
      <c r="B102" s="13" t="s">
        <v>833</v>
      </c>
      <c r="C102" s="17">
        <v>9.0749999999999997E-2</v>
      </c>
      <c r="D102" s="14">
        <f>D$33*C102</f>
        <v>183.01258800000002</v>
      </c>
    </row>
    <row r="103" spans="1:4" ht="15.75" customHeight="1" x14ac:dyDescent="0.25">
      <c r="A103" s="18" t="s">
        <v>834</v>
      </c>
      <c r="B103" s="13" t="s">
        <v>835</v>
      </c>
      <c r="C103" s="14">
        <v>1</v>
      </c>
      <c r="D103" s="14">
        <f>((D99/30)*C103)/12</f>
        <v>6.7463134290909101</v>
      </c>
    </row>
    <row r="104" spans="1:4" ht="15.75" customHeight="1" x14ac:dyDescent="0.25">
      <c r="A104" s="18" t="s">
        <v>836</v>
      </c>
      <c r="B104" s="13" t="s">
        <v>837</v>
      </c>
      <c r="C104" s="15">
        <v>1.4999999999999999E-2</v>
      </c>
      <c r="D104" s="14">
        <f>((D99/30)*5/12)*C104</f>
        <v>0.50597350718181822</v>
      </c>
    </row>
    <row r="105" spans="1:4" ht="15.75" customHeight="1" x14ac:dyDescent="0.25">
      <c r="A105" s="18" t="s">
        <v>838</v>
      </c>
      <c r="B105" s="13" t="s">
        <v>839</v>
      </c>
      <c r="C105" s="15">
        <v>7.7999999999999996E-3</v>
      </c>
      <c r="D105" s="14">
        <f>((D99/30)*15/12)*C105</f>
        <v>0.78931867120363641</v>
      </c>
    </row>
    <row r="106" spans="1:4" ht="15.75" customHeight="1" x14ac:dyDescent="0.25">
      <c r="A106" s="18" t="s">
        <v>840</v>
      </c>
      <c r="B106" s="13" t="s">
        <v>841</v>
      </c>
      <c r="C106" s="15">
        <v>0.02</v>
      </c>
      <c r="D106" s="14">
        <f>(((D33+(D33/3))/12)*(4/12))*C106</f>
        <v>1.4938278787878789</v>
      </c>
    </row>
    <row r="107" spans="1:4" ht="15.75" customHeight="1" x14ac:dyDescent="0.25">
      <c r="A107" s="18" t="s">
        <v>842</v>
      </c>
      <c r="B107" s="13" t="s">
        <v>843</v>
      </c>
      <c r="C107" s="14">
        <v>3</v>
      </c>
      <c r="D107" s="14">
        <f>((D99/30)*C107)/12</f>
        <v>20.23894028727273</v>
      </c>
    </row>
    <row r="108" spans="1:4" ht="15.75" customHeight="1" x14ac:dyDescent="0.25">
      <c r="A108" s="18" t="s">
        <v>844</v>
      </c>
      <c r="B108" s="13" t="s">
        <v>845</v>
      </c>
      <c r="C108" s="14"/>
      <c r="D108" s="14">
        <f>((D99/30)*C108)/12</f>
        <v>0</v>
      </c>
    </row>
    <row r="109" spans="1:4" ht="15.75" customHeight="1" x14ac:dyDescent="0.25">
      <c r="A109" s="595" t="s">
        <v>752</v>
      </c>
      <c r="B109" s="588"/>
      <c r="C109" s="175"/>
      <c r="D109" s="44">
        <f>SUM(D102:D107)</f>
        <v>212.78696177353697</v>
      </c>
    </row>
    <row r="110" spans="1:4" ht="15.75" customHeight="1" x14ac:dyDescent="0.25">
      <c r="A110" s="18" t="s">
        <v>846</v>
      </c>
      <c r="B110" s="13" t="s">
        <v>847</v>
      </c>
      <c r="C110" s="15">
        <f>C58</f>
        <v>0.39800000000000008</v>
      </c>
      <c r="D110" s="14">
        <f>D109*C110</f>
        <v>84.689210785867729</v>
      </c>
    </row>
    <row r="111" spans="1:4" ht="15.75" customHeight="1" x14ac:dyDescent="0.25">
      <c r="A111" s="596" t="s">
        <v>752</v>
      </c>
      <c r="B111" s="588"/>
      <c r="C111" s="179"/>
      <c r="D111" s="178">
        <f>SUM(D109:D110)</f>
        <v>297.47617255940469</v>
      </c>
    </row>
    <row r="112" spans="1:4" ht="61.5" customHeight="1" x14ac:dyDescent="0.25">
      <c r="A112" s="577" t="s">
        <v>848</v>
      </c>
      <c r="B112" s="578"/>
      <c r="C112" s="3"/>
      <c r="D112" s="41"/>
    </row>
    <row r="113" spans="1:4" ht="8.1" customHeight="1" x14ac:dyDescent="0.25">
      <c r="A113" s="125"/>
      <c r="B113" s="42"/>
      <c r="C113" s="140"/>
      <c r="D113" s="127"/>
    </row>
    <row r="114" spans="1:4" ht="15.75" customHeight="1" x14ac:dyDescent="0.25">
      <c r="A114" s="587" t="s">
        <v>849</v>
      </c>
      <c r="B114" s="588"/>
      <c r="C114" s="151"/>
      <c r="D114" s="152" t="s">
        <v>734</v>
      </c>
    </row>
    <row r="115" spans="1:4" ht="15.75" customHeight="1" x14ac:dyDescent="0.25">
      <c r="A115" s="18" t="s">
        <v>850</v>
      </c>
      <c r="B115" s="13" t="s">
        <v>851</v>
      </c>
      <c r="C115" s="14">
        <v>0</v>
      </c>
      <c r="D115" s="14">
        <f>((D$37+D$82)/C$28)*C115*C$18</f>
        <v>0</v>
      </c>
    </row>
    <row r="116" spans="1:4" ht="15.75" customHeight="1" x14ac:dyDescent="0.25">
      <c r="A116" s="18" t="s">
        <v>852</v>
      </c>
      <c r="B116" s="13" t="s">
        <v>853</v>
      </c>
      <c r="C116" s="15">
        <f>C58</f>
        <v>0.39800000000000008</v>
      </c>
      <c r="D116" s="14">
        <f>D115*C116</f>
        <v>0</v>
      </c>
    </row>
    <row r="117" spans="1:4" ht="15.75" customHeight="1" x14ac:dyDescent="0.25">
      <c r="A117" s="596" t="s">
        <v>752</v>
      </c>
      <c r="B117" s="588"/>
      <c r="C117" s="177"/>
      <c r="D117" s="178">
        <f>SUM(D115:D116)</f>
        <v>0</v>
      </c>
    </row>
    <row r="118" spans="1:4" ht="8.1" customHeight="1" x14ac:dyDescent="0.25">
      <c r="A118" s="577"/>
      <c r="B118" s="578"/>
      <c r="C118" s="3"/>
      <c r="D118" s="41"/>
    </row>
    <row r="119" spans="1:4" ht="8.1" customHeight="1" x14ac:dyDescent="0.25">
      <c r="A119" s="7"/>
      <c r="C119" s="20"/>
      <c r="D119" s="127"/>
    </row>
    <row r="120" spans="1:4" ht="15.75" customHeight="1" x14ac:dyDescent="0.25">
      <c r="A120" s="587" t="s">
        <v>854</v>
      </c>
      <c r="B120" s="588"/>
      <c r="C120" s="151"/>
      <c r="D120" s="152" t="s">
        <v>734</v>
      </c>
    </row>
    <row r="121" spans="1:4" ht="15.75" customHeight="1" x14ac:dyDescent="0.25">
      <c r="A121" s="18" t="s">
        <v>855</v>
      </c>
      <c r="B121" s="13" t="s">
        <v>856</v>
      </c>
      <c r="C121" s="15"/>
      <c r="D121" s="14">
        <f>D111</f>
        <v>297.47617255940469</v>
      </c>
    </row>
    <row r="122" spans="1:4" ht="15.75" customHeight="1" x14ac:dyDescent="0.25">
      <c r="A122" s="18" t="s">
        <v>857</v>
      </c>
      <c r="B122" s="13" t="s">
        <v>858</v>
      </c>
      <c r="C122" s="14"/>
      <c r="D122" s="14">
        <f>D117</f>
        <v>0</v>
      </c>
    </row>
    <row r="123" spans="1:4" ht="15.75" customHeight="1" thickBot="1" x14ac:dyDescent="0.3">
      <c r="A123" s="593" t="s">
        <v>752</v>
      </c>
      <c r="B123" s="594"/>
      <c r="C123" s="172"/>
      <c r="D123" s="173">
        <f>SUM(D121:D122)</f>
        <v>297.47617255940469</v>
      </c>
    </row>
    <row r="124" spans="1:4" ht="8.1" customHeight="1" x14ac:dyDescent="0.25">
      <c r="A124" s="153"/>
      <c r="B124" s="154"/>
      <c r="C124" s="155"/>
      <c r="D124" s="156"/>
    </row>
    <row r="125" spans="1:4" ht="8.1" customHeight="1" thickBot="1" x14ac:dyDescent="0.3">
      <c r="A125" s="125"/>
      <c r="B125" s="42"/>
      <c r="C125" s="140"/>
      <c r="D125" s="127"/>
    </row>
    <row r="126" spans="1:4" ht="18" customHeight="1" x14ac:dyDescent="0.25">
      <c r="A126" s="591" t="s">
        <v>859</v>
      </c>
      <c r="B126" s="592"/>
      <c r="C126" s="12"/>
      <c r="D126" s="150" t="s">
        <v>734</v>
      </c>
    </row>
    <row r="127" spans="1:4" ht="15.75" customHeight="1" x14ac:dyDescent="0.25">
      <c r="A127" s="174" t="s">
        <v>860</v>
      </c>
      <c r="B127" s="175" t="s">
        <v>861</v>
      </c>
      <c r="C127" s="176"/>
      <c r="D127" s="44">
        <f>tbUNIFORMESL[[#Totals],[VL. MENSAL]]</f>
        <v>167.72833333333332</v>
      </c>
    </row>
    <row r="128" spans="1:4" ht="15.75" customHeight="1" x14ac:dyDescent="0.25">
      <c r="A128" s="174" t="s">
        <v>862</v>
      </c>
      <c r="B128" s="175" t="s">
        <v>863</v>
      </c>
      <c r="C128" s="176"/>
      <c r="D128" s="44">
        <v>0</v>
      </c>
    </row>
    <row r="129" spans="1:4" ht="15.75" customHeight="1" x14ac:dyDescent="0.25">
      <c r="A129" s="174" t="s">
        <v>864</v>
      </c>
      <c r="B129" s="175" t="s">
        <v>865</v>
      </c>
      <c r="C129" s="176"/>
      <c r="D129" s="44">
        <v>0</v>
      </c>
    </row>
    <row r="130" spans="1:4" ht="15.75" customHeight="1" x14ac:dyDescent="0.25">
      <c r="A130" s="174" t="s">
        <v>866</v>
      </c>
      <c r="B130" s="175" t="s">
        <v>867</v>
      </c>
      <c r="C130" s="176"/>
      <c r="D130" s="44">
        <v>0</v>
      </c>
    </row>
    <row r="131" spans="1:4" ht="15.75" customHeight="1" thickBot="1" x14ac:dyDescent="0.3">
      <c r="A131" s="593" t="s">
        <v>752</v>
      </c>
      <c r="B131" s="594"/>
      <c r="C131" s="172"/>
      <c r="D131" s="173">
        <f>SUM(D127:D130)</f>
        <v>167.72833333333332</v>
      </c>
    </row>
    <row r="132" spans="1:4" ht="15.95" customHeight="1" thickBot="1" x14ac:dyDescent="0.3">
      <c r="A132" s="4"/>
      <c r="B132" s="1"/>
      <c r="C132" s="22"/>
      <c r="D132" s="6"/>
    </row>
    <row r="133" spans="1:4" ht="18" customHeight="1" x14ac:dyDescent="0.25">
      <c r="A133" s="591" t="s">
        <v>868</v>
      </c>
      <c r="B133" s="592"/>
      <c r="C133" s="12"/>
      <c r="D133" s="150" t="s">
        <v>734</v>
      </c>
    </row>
    <row r="134" spans="1:4" ht="8.1" customHeight="1" x14ac:dyDescent="0.25">
      <c r="A134" s="7"/>
      <c r="C134" s="8"/>
      <c r="D134" s="127"/>
    </row>
    <row r="135" spans="1:4" ht="15.75" customHeight="1" x14ac:dyDescent="0.25">
      <c r="A135" s="587" t="s">
        <v>869</v>
      </c>
      <c r="B135" s="588"/>
      <c r="C135" s="151"/>
      <c r="D135" s="152">
        <f>SUM(D37,D82,D94,D123,D131)</f>
        <v>4368.7006994143385</v>
      </c>
    </row>
    <row r="136" spans="1:4" ht="8.1" customHeight="1" x14ac:dyDescent="0.25">
      <c r="A136" s="7"/>
      <c r="C136" s="8"/>
      <c r="D136" s="127"/>
    </row>
    <row r="137" spans="1:4" ht="15.75" customHeight="1" x14ac:dyDescent="0.25">
      <c r="A137" s="66" t="s">
        <v>870</v>
      </c>
      <c r="B137" s="34" t="s">
        <v>871</v>
      </c>
      <c r="C137" s="67">
        <v>0.05</v>
      </c>
      <c r="D137" s="35">
        <f>D$135*C137</f>
        <v>218.43503497071694</v>
      </c>
    </row>
    <row r="138" spans="1:4" ht="15.75" customHeight="1" x14ac:dyDescent="0.25">
      <c r="A138" s="66" t="s">
        <v>872</v>
      </c>
      <c r="B138" s="34" t="s">
        <v>873</v>
      </c>
      <c r="C138" s="67">
        <v>0.1</v>
      </c>
      <c r="D138" s="35">
        <f>SUM(D135,D137)*C138</f>
        <v>458.71357343850553</v>
      </c>
    </row>
    <row r="139" spans="1:4" ht="8.1" customHeight="1" x14ac:dyDescent="0.25">
      <c r="A139" s="7"/>
      <c r="C139" s="8"/>
      <c r="D139" s="127"/>
    </row>
    <row r="140" spans="1:4" ht="15.75" customHeight="1" x14ac:dyDescent="0.25">
      <c r="A140" s="587" t="s">
        <v>874</v>
      </c>
      <c r="B140" s="588"/>
      <c r="C140" s="151"/>
      <c r="D140" s="152">
        <f>SUM(D135,D137:D138)</f>
        <v>5045.8493078235606</v>
      </c>
    </row>
    <row r="141" spans="1:4" ht="8.1" customHeight="1" x14ac:dyDescent="0.25">
      <c r="A141" s="7"/>
      <c r="C141" s="8"/>
      <c r="D141" s="127"/>
    </row>
    <row r="142" spans="1:4" ht="15.75" customHeight="1" x14ac:dyDescent="0.25">
      <c r="A142" s="18" t="s">
        <v>875</v>
      </c>
      <c r="B142" s="13" t="s">
        <v>876</v>
      </c>
      <c r="C142" s="19">
        <f>'DADOS CCT'!D21</f>
        <v>7.5999999999999998E-2</v>
      </c>
      <c r="D142" s="14">
        <f>(D$140/(1-C$146))*C142</f>
        <v>442.05711515226585</v>
      </c>
    </row>
    <row r="143" spans="1:4" ht="15.75" customHeight="1" x14ac:dyDescent="0.25">
      <c r="A143" s="18" t="s">
        <v>877</v>
      </c>
      <c r="B143" s="13" t="s">
        <v>878</v>
      </c>
      <c r="C143" s="19">
        <f>'DADOS CCT'!D20</f>
        <v>1.6500000000000001E-2</v>
      </c>
      <c r="D143" s="14">
        <f>(D$140/(1-C$146))*C143</f>
        <v>95.972926315952463</v>
      </c>
    </row>
    <row r="144" spans="1:4" ht="15.75" customHeight="1" x14ac:dyDescent="0.25">
      <c r="A144" s="18" t="s">
        <v>879</v>
      </c>
      <c r="B144" s="13" t="s">
        <v>880</v>
      </c>
      <c r="C144" s="15"/>
      <c r="D144" s="14">
        <f>(D$140/(1-C$146))*C144</f>
        <v>0</v>
      </c>
    </row>
    <row r="145" spans="1:4" ht="15.75" customHeight="1" x14ac:dyDescent="0.25">
      <c r="A145" s="18" t="s">
        <v>881</v>
      </c>
      <c r="B145" s="13" t="s">
        <v>882</v>
      </c>
      <c r="C145" s="19">
        <f>'DADOS CCT'!D19</f>
        <v>0.04</v>
      </c>
      <c r="D145" s="14">
        <f>(D$140/(1-C$146))*C145</f>
        <v>232.66163955382413</v>
      </c>
    </row>
    <row r="146" spans="1:4" ht="15.75" customHeight="1" thickBot="1" x14ac:dyDescent="0.3">
      <c r="A146" s="599" t="s">
        <v>752</v>
      </c>
      <c r="B146" s="600"/>
      <c r="C146" s="43">
        <f>SUM(C142:C145)</f>
        <v>0.13250000000000001</v>
      </c>
      <c r="D146" s="39">
        <f>SUM(D137:D138,D142:D145)</f>
        <v>1447.8402894312651</v>
      </c>
    </row>
    <row r="147" spans="1:4" ht="15.95" customHeight="1" thickBot="1" x14ac:dyDescent="0.3">
      <c r="A147" s="4"/>
      <c r="B147" s="1"/>
      <c r="C147" s="22"/>
      <c r="D147" s="6"/>
    </row>
    <row r="148" spans="1:4" ht="18" customHeight="1" x14ac:dyDescent="0.25">
      <c r="A148" s="601" t="s">
        <v>883</v>
      </c>
      <c r="B148" s="602"/>
      <c r="C148" s="170"/>
      <c r="D148" s="171" t="s">
        <v>734</v>
      </c>
    </row>
    <row r="149" spans="1:4" ht="15.75" customHeight="1" x14ac:dyDescent="0.25">
      <c r="A149" s="45"/>
      <c r="B149" s="46" t="s">
        <v>884</v>
      </c>
      <c r="C149" s="136"/>
      <c r="D149" s="28">
        <f>D37</f>
        <v>2016.6676363636366</v>
      </c>
    </row>
    <row r="150" spans="1:4" ht="15.75" customHeight="1" x14ac:dyDescent="0.25">
      <c r="A150" s="45"/>
      <c r="B150" s="46" t="s">
        <v>885</v>
      </c>
      <c r="C150" s="136"/>
      <c r="D150" s="28">
        <f>D82</f>
        <v>1670.9543700234185</v>
      </c>
    </row>
    <row r="151" spans="1:4" ht="15.75" customHeight="1" x14ac:dyDescent="0.25">
      <c r="A151" s="45"/>
      <c r="B151" s="46" t="s">
        <v>886</v>
      </c>
      <c r="C151" s="143"/>
      <c r="D151" s="28">
        <f>D94</f>
        <v>215.87418713454548</v>
      </c>
    </row>
    <row r="152" spans="1:4" ht="15.75" customHeight="1" x14ac:dyDescent="0.25">
      <c r="A152" s="45"/>
      <c r="B152" s="46" t="s">
        <v>887</v>
      </c>
      <c r="C152" s="136"/>
      <c r="D152" s="28">
        <f>D123</f>
        <v>297.47617255940469</v>
      </c>
    </row>
    <row r="153" spans="1:4" ht="15.75" customHeight="1" x14ac:dyDescent="0.25">
      <c r="A153" s="45"/>
      <c r="B153" s="46" t="s">
        <v>888</v>
      </c>
      <c r="C153" s="136"/>
      <c r="D153" s="28">
        <f>D131</f>
        <v>167.72833333333332</v>
      </c>
    </row>
    <row r="154" spans="1:4" ht="15.75" customHeight="1" x14ac:dyDescent="0.25">
      <c r="A154" s="585" t="s">
        <v>752</v>
      </c>
      <c r="B154" s="412"/>
      <c r="C154" s="137"/>
      <c r="D154" s="138">
        <f>SUM(D149:D153)</f>
        <v>4368.7006994143385</v>
      </c>
    </row>
    <row r="155" spans="1:4" ht="15.75" customHeight="1" x14ac:dyDescent="0.25">
      <c r="A155" s="45"/>
      <c r="B155" s="46" t="s">
        <v>889</v>
      </c>
      <c r="C155" s="143"/>
      <c r="D155" s="28">
        <f>D146</f>
        <v>1447.8402894312651</v>
      </c>
    </row>
    <row r="156" spans="1:4" ht="15.75" customHeight="1" thickBot="1" x14ac:dyDescent="0.35">
      <c r="A156" s="603" t="s">
        <v>890</v>
      </c>
      <c r="B156" s="604"/>
      <c r="C156" s="168"/>
      <c r="D156" s="169">
        <f>TRUNC(SUM(D154:D155),2)</f>
        <v>5816.54</v>
      </c>
    </row>
    <row r="157" spans="1:4" ht="8.1" customHeight="1" thickBot="1" x14ac:dyDescent="0.3">
      <c r="A157" s="9"/>
      <c r="B157" s="10"/>
      <c r="C157" s="21"/>
      <c r="D157" s="11"/>
    </row>
    <row r="158" spans="1:4" ht="15.75" customHeight="1" thickBot="1" x14ac:dyDescent="0.3">
      <c r="A158" s="605" t="s">
        <v>891</v>
      </c>
      <c r="B158" s="470"/>
      <c r="C158" s="166"/>
      <c r="D158" s="167">
        <v>1</v>
      </c>
    </row>
    <row r="159" spans="1:4" ht="8.1" customHeight="1" thickBot="1" x14ac:dyDescent="0.3">
      <c r="A159" s="9"/>
      <c r="B159" s="10"/>
      <c r="C159" s="21"/>
      <c r="D159" s="11"/>
    </row>
    <row r="160" spans="1:4" ht="15.75" customHeight="1" thickBot="1" x14ac:dyDescent="0.35">
      <c r="A160" s="597" t="s">
        <v>892</v>
      </c>
      <c r="B160" s="598"/>
      <c r="C160" s="164"/>
      <c r="D160" s="165">
        <f>TRUNC(D156*D158,2)</f>
        <v>5816.54</v>
      </c>
    </row>
    <row r="161" spans="1:4" ht="15.95" customHeight="1" thickBot="1" x14ac:dyDescent="0.3"/>
    <row r="162" spans="1:4" ht="15.75" customHeight="1" thickBot="1" x14ac:dyDescent="0.35">
      <c r="A162" s="561" t="s">
        <v>893</v>
      </c>
      <c r="B162" s="562"/>
      <c r="C162" s="162"/>
      <c r="D162" s="163">
        <f>D156/D37</f>
        <v>2.8842333238848026</v>
      </c>
    </row>
    <row r="163" spans="1:4" ht="15.95" customHeight="1" thickBot="1" x14ac:dyDescent="0.3">
      <c r="A163" s="33"/>
      <c r="B163" s="33"/>
      <c r="C163" s="33"/>
    </row>
    <row r="164" spans="1:4" ht="15.75" customHeight="1" x14ac:dyDescent="0.3">
      <c r="A164" s="551" t="s">
        <v>894</v>
      </c>
      <c r="B164" s="551"/>
      <c r="C164" s="160"/>
      <c r="D164" s="161"/>
    </row>
    <row r="165" spans="1:4" ht="15" customHeight="1" thickBot="1" x14ac:dyDescent="0.3">
      <c r="A165" s="157"/>
      <c r="B165" s="157" t="s">
        <v>895</v>
      </c>
      <c r="C165" s="157"/>
      <c r="D165" s="158">
        <f>TRUNC(D156/C$18,2)</f>
        <v>276.97000000000003</v>
      </c>
    </row>
  </sheetData>
  <mergeCells count="65">
    <mergeCell ref="C15:D15"/>
    <mergeCell ref="C3:D3"/>
    <mergeCell ref="C4:D4"/>
    <mergeCell ref="C5:D5"/>
    <mergeCell ref="A7:B7"/>
    <mergeCell ref="C8:D8"/>
    <mergeCell ref="C9:D9"/>
    <mergeCell ref="C10:D10"/>
    <mergeCell ref="C11:D11"/>
    <mergeCell ref="C12:D12"/>
    <mergeCell ref="C13:D13"/>
    <mergeCell ref="C14:D14"/>
    <mergeCell ref="A33:B33"/>
    <mergeCell ref="C16:D16"/>
    <mergeCell ref="C17:D17"/>
    <mergeCell ref="C18:D18"/>
    <mergeCell ref="C19:D19"/>
    <mergeCell ref="C20:D20"/>
    <mergeCell ref="C21:D21"/>
    <mergeCell ref="C22:D22"/>
    <mergeCell ref="C23:D23"/>
    <mergeCell ref="A25:B25"/>
    <mergeCell ref="C25:D25"/>
    <mergeCell ref="A27:B27"/>
    <mergeCell ref="A76:B76"/>
    <mergeCell ref="A37:B37"/>
    <mergeCell ref="A38:B38"/>
    <mergeCell ref="A40:B40"/>
    <mergeCell ref="A42:B42"/>
    <mergeCell ref="A45:B45"/>
    <mergeCell ref="A46:B46"/>
    <mergeCell ref="A48:B48"/>
    <mergeCell ref="A58:B58"/>
    <mergeCell ref="A59:B59"/>
    <mergeCell ref="A61:B61"/>
    <mergeCell ref="A75:B75"/>
    <mergeCell ref="A114:B114"/>
    <mergeCell ref="A78:B78"/>
    <mergeCell ref="A82:B82"/>
    <mergeCell ref="A85:B85"/>
    <mergeCell ref="A94:B94"/>
    <mergeCell ref="A95:B95"/>
    <mergeCell ref="A97:B97"/>
    <mergeCell ref="A99:B99"/>
    <mergeCell ref="A101:B101"/>
    <mergeCell ref="A109:B109"/>
    <mergeCell ref="A111:B111"/>
    <mergeCell ref="A112:B112"/>
    <mergeCell ref="A154:B154"/>
    <mergeCell ref="A117:B117"/>
    <mergeCell ref="A118:B118"/>
    <mergeCell ref="A120:B120"/>
    <mergeCell ref="A123:B123"/>
    <mergeCell ref="A126:B126"/>
    <mergeCell ref="A131:B131"/>
    <mergeCell ref="A133:B133"/>
    <mergeCell ref="A135:B135"/>
    <mergeCell ref="A140:B140"/>
    <mergeCell ref="A146:B146"/>
    <mergeCell ref="A148:B148"/>
    <mergeCell ref="A156:B156"/>
    <mergeCell ref="A158:B158"/>
    <mergeCell ref="A160:B160"/>
    <mergeCell ref="A162:B162"/>
    <mergeCell ref="A164:B164"/>
  </mergeCells>
  <pageMargins left="0.70866141732283472" right="0.70866141732283472" top="0.74803149606299213" bottom="0.74803149606299213" header="0" footer="0"/>
  <pageSetup paperSize="9" scale="80" fitToHeight="0" orientation="portrait" r:id="rId1"/>
  <rowBreaks count="4" manualBreakCount="4">
    <brk id="38" max="3" man="1"/>
    <brk id="83" max="3" man="1"/>
    <brk id="90" max="16383" man="1"/>
    <brk id="124" max="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21843-D74C-4977-9BFF-248CE2E9EE85}">
  <sheetPr>
    <tabColor theme="8" tint="-0.249977111117893"/>
    <outlinePr summaryBelow="0"/>
    <pageSetUpPr fitToPage="1"/>
  </sheetPr>
  <dimension ref="A1:D165"/>
  <sheetViews>
    <sheetView workbookViewId="0"/>
  </sheetViews>
  <sheetFormatPr defaultColWidth="14.42578125" defaultRowHeight="15" customHeight="1" x14ac:dyDescent="0.25"/>
  <cols>
    <col min="1" max="1" width="6.7109375" customWidth="1"/>
    <col min="2" max="2" width="64.7109375" customWidth="1"/>
    <col min="3" max="3" width="18.7109375" customWidth="1"/>
    <col min="4" max="4" width="18.7109375" style="33" customWidth="1"/>
    <col min="5" max="16384" width="14.42578125" style="159"/>
  </cols>
  <sheetData>
    <row r="1" spans="1:4" ht="40.5" customHeight="1" x14ac:dyDescent="0.25">
      <c r="A1" s="38"/>
      <c r="B1" s="313" t="s">
        <v>692</v>
      </c>
      <c r="C1" s="37"/>
      <c r="D1" s="37"/>
    </row>
    <row r="2" spans="1:4" ht="15.95" customHeight="1" thickBot="1" x14ac:dyDescent="0.3">
      <c r="A2" s="125"/>
      <c r="B2" s="42"/>
      <c r="C2" s="126"/>
      <c r="D2" s="127"/>
    </row>
    <row r="3" spans="1:4" ht="15" customHeight="1" x14ac:dyDescent="0.25">
      <c r="A3" s="192"/>
      <c r="B3" s="314" t="s">
        <v>693</v>
      </c>
      <c r="C3" s="552"/>
      <c r="D3" s="552"/>
    </row>
    <row r="4" spans="1:4" ht="15" customHeight="1" x14ac:dyDescent="0.25">
      <c r="A4" s="193"/>
      <c r="B4" s="274" t="s">
        <v>694</v>
      </c>
      <c r="C4" s="553"/>
      <c r="D4" s="553"/>
    </row>
    <row r="5" spans="1:4" ht="15.75" customHeight="1" thickBot="1" x14ac:dyDescent="0.3">
      <c r="A5" s="194"/>
      <c r="B5" s="195" t="s">
        <v>695</v>
      </c>
      <c r="C5" s="554"/>
      <c r="D5" s="554"/>
    </row>
    <row r="6" spans="1:4" ht="15.95" customHeight="1" thickBot="1" x14ac:dyDescent="0.3">
      <c r="A6" s="125"/>
      <c r="B6" s="42"/>
      <c r="C6" s="126"/>
      <c r="D6" s="127"/>
    </row>
    <row r="7" spans="1:4" ht="15" customHeight="1" x14ac:dyDescent="0.25">
      <c r="A7" s="563" t="s">
        <v>696</v>
      </c>
      <c r="B7" s="564"/>
      <c r="C7" s="128"/>
      <c r="D7" s="129"/>
    </row>
    <row r="8" spans="1:4" ht="15" customHeight="1" x14ac:dyDescent="0.25">
      <c r="A8" s="45" t="s">
        <v>697</v>
      </c>
      <c r="B8" s="263" t="s">
        <v>698</v>
      </c>
      <c r="C8" s="555"/>
      <c r="D8" s="555"/>
    </row>
    <row r="9" spans="1:4" ht="15" customHeight="1" x14ac:dyDescent="0.25">
      <c r="A9" s="45" t="s">
        <v>699</v>
      </c>
      <c r="B9" s="263" t="s">
        <v>700</v>
      </c>
      <c r="C9" s="555" t="str">
        <f>'DADOS CCT'!B4</f>
        <v>SANTA MARIA</v>
      </c>
      <c r="D9" s="555"/>
    </row>
    <row r="10" spans="1:4" ht="15" customHeight="1" x14ac:dyDescent="0.25">
      <c r="A10" s="45" t="s">
        <v>701</v>
      </c>
      <c r="B10" s="263" t="s">
        <v>702</v>
      </c>
      <c r="C10" s="555" t="str">
        <f>'DADOS CCT'!C4&amp;" - "&amp;'DADOS CCT'!D5</f>
        <v>SINTEPS/RS - RS000042/2024</v>
      </c>
      <c r="D10" s="555"/>
    </row>
    <row r="11" spans="1:4" ht="15" customHeight="1" x14ac:dyDescent="0.25">
      <c r="A11" s="45" t="s">
        <v>703</v>
      </c>
      <c r="B11" s="263" t="s">
        <v>704</v>
      </c>
      <c r="C11" s="556">
        <v>12</v>
      </c>
      <c r="D11" s="556"/>
    </row>
    <row r="12" spans="1:4" ht="15" customHeight="1" x14ac:dyDescent="0.25">
      <c r="A12" s="45" t="s">
        <v>705</v>
      </c>
      <c r="B12" s="263" t="s">
        <v>706</v>
      </c>
      <c r="C12" s="557">
        <f>'DADOS CCT'!D6</f>
        <v>45292</v>
      </c>
      <c r="D12" s="557"/>
    </row>
    <row r="13" spans="1:4" ht="29.25" customHeight="1" x14ac:dyDescent="0.25">
      <c r="A13" s="45" t="s">
        <v>707</v>
      </c>
      <c r="B13" s="315" t="s">
        <v>708</v>
      </c>
      <c r="C13" s="558" t="s">
        <v>709</v>
      </c>
      <c r="D13" s="558"/>
    </row>
    <row r="14" spans="1:4" x14ac:dyDescent="0.25">
      <c r="A14" s="130" t="s">
        <v>710</v>
      </c>
      <c r="B14" s="131" t="s">
        <v>711</v>
      </c>
      <c r="C14" s="559" t="s">
        <v>712</v>
      </c>
      <c r="D14" s="559"/>
    </row>
    <row r="15" spans="1:4" x14ac:dyDescent="0.25">
      <c r="A15" s="130" t="s">
        <v>713</v>
      </c>
      <c r="B15" s="131" t="s">
        <v>714</v>
      </c>
      <c r="C15" s="559" t="s">
        <v>898</v>
      </c>
      <c r="D15" s="559"/>
    </row>
    <row r="16" spans="1:4" x14ac:dyDescent="0.25">
      <c r="A16" s="130" t="s">
        <v>716</v>
      </c>
      <c r="B16" s="131" t="s">
        <v>717</v>
      </c>
      <c r="C16" s="559" t="str">
        <f ca="1">RIGHT(CELL("nome.arquivo",A1),LEN(CELL("nome.arquivo",A1))-SEARCH("]",CELL("nome.arquivo",A1)))</f>
        <v>5143-20 AUX.LH 5x2 DIURNO SM</v>
      </c>
      <c r="D16" s="559"/>
    </row>
    <row r="17" spans="1:4" x14ac:dyDescent="0.25">
      <c r="A17" s="130" t="s">
        <v>718</v>
      </c>
      <c r="B17" s="131" t="s">
        <v>719</v>
      </c>
      <c r="C17" s="560" t="s">
        <v>1195</v>
      </c>
      <c r="D17" s="560"/>
    </row>
    <row r="18" spans="1:4" x14ac:dyDescent="0.25">
      <c r="A18" s="130" t="s">
        <v>721</v>
      </c>
      <c r="B18" s="131" t="s">
        <v>722</v>
      </c>
      <c r="C18" s="560">
        <v>21</v>
      </c>
      <c r="D18" s="560"/>
    </row>
    <row r="19" spans="1:4" ht="15.75" customHeight="1" x14ac:dyDescent="0.25">
      <c r="A19" s="130" t="s">
        <v>723</v>
      </c>
      <c r="B19" s="131" t="s">
        <v>724</v>
      </c>
      <c r="C19" s="560">
        <f>'DADOS CCT'!D7</f>
        <v>1540.51</v>
      </c>
      <c r="D19" s="560"/>
    </row>
    <row r="20" spans="1:4" ht="15.75" customHeight="1" x14ac:dyDescent="0.25">
      <c r="A20" s="130" t="s">
        <v>725</v>
      </c>
      <c r="B20" s="132" t="s">
        <v>726</v>
      </c>
      <c r="C20" s="573">
        <f>C19/220</f>
        <v>7.0023181818181817</v>
      </c>
      <c r="D20" s="573"/>
    </row>
    <row r="21" spans="1:4" ht="15.75" customHeight="1" x14ac:dyDescent="0.25">
      <c r="A21" s="130" t="s">
        <v>727</v>
      </c>
      <c r="B21" s="132" t="s">
        <v>728</v>
      </c>
      <c r="C21" s="573">
        <f>C20*1.5</f>
        <v>10.503477272727272</v>
      </c>
      <c r="D21" s="573"/>
    </row>
    <row r="22" spans="1:4" ht="15.75" customHeight="1" x14ac:dyDescent="0.25">
      <c r="A22" s="130" t="s">
        <v>729</v>
      </c>
      <c r="B22" s="132" t="s">
        <v>730</v>
      </c>
      <c r="C22" s="573">
        <f>C20*2</f>
        <v>14.004636363636363</v>
      </c>
      <c r="D22" s="573"/>
    </row>
    <row r="23" spans="1:4" ht="15.75" customHeight="1" thickBot="1" x14ac:dyDescent="0.3">
      <c r="A23" s="133" t="s">
        <v>731</v>
      </c>
      <c r="B23" s="134" t="s">
        <v>732</v>
      </c>
      <c r="C23" s="574">
        <f>C20*0.2</f>
        <v>1.4004636363636365</v>
      </c>
      <c r="D23" s="574"/>
    </row>
    <row r="24" spans="1:4" ht="15.95" customHeight="1" thickBot="1" x14ac:dyDescent="0.3">
      <c r="A24" s="125"/>
      <c r="B24" s="42"/>
      <c r="C24" s="126"/>
      <c r="D24" s="127"/>
    </row>
    <row r="25" spans="1:4" ht="15.75" thickBot="1" x14ac:dyDescent="0.3">
      <c r="A25" s="565"/>
      <c r="B25" s="566"/>
      <c r="C25" s="567" t="str">
        <f>'DADOS CCT'!D3</f>
        <v>00 - VALOR ESTIMADO</v>
      </c>
      <c r="D25" s="568"/>
    </row>
    <row r="26" spans="1:4" ht="6" customHeight="1" thickBot="1" x14ac:dyDescent="0.3">
      <c r="A26" s="4"/>
      <c r="B26" s="1"/>
      <c r="C26" s="5"/>
      <c r="D26" s="6"/>
    </row>
    <row r="27" spans="1:4" ht="18" customHeight="1" x14ac:dyDescent="0.25">
      <c r="A27" s="569" t="s">
        <v>733</v>
      </c>
      <c r="B27" s="570"/>
      <c r="C27" s="190"/>
      <c r="D27" s="191" t="s">
        <v>734</v>
      </c>
    </row>
    <row r="28" spans="1:4" ht="15.75" customHeight="1" x14ac:dyDescent="0.25">
      <c r="A28" s="45" t="s">
        <v>735</v>
      </c>
      <c r="B28" s="46" t="s">
        <v>736</v>
      </c>
      <c r="C28" s="135">
        <v>220</v>
      </c>
      <c r="D28" s="28">
        <f>C28*C19/220</f>
        <v>1540.51</v>
      </c>
    </row>
    <row r="29" spans="1:4" ht="15.75" customHeight="1" x14ac:dyDescent="0.25">
      <c r="A29" s="45" t="s">
        <v>737</v>
      </c>
      <c r="B29" s="46" t="s">
        <v>738</v>
      </c>
      <c r="C29" s="136"/>
      <c r="D29" s="28">
        <f>D$28*C29</f>
        <v>0</v>
      </c>
    </row>
    <row r="30" spans="1:4" ht="15.75" customHeight="1" x14ac:dyDescent="0.25">
      <c r="A30" s="45" t="s">
        <v>739</v>
      </c>
      <c r="B30" s="46" t="s">
        <v>740</v>
      </c>
      <c r="C30" s="136">
        <v>0.4</v>
      </c>
      <c r="D30" s="208">
        <f>C30*C19</f>
        <v>616.20400000000006</v>
      </c>
    </row>
    <row r="31" spans="1:4" ht="15.75" customHeight="1" x14ac:dyDescent="0.25">
      <c r="A31" s="45" t="s">
        <v>741</v>
      </c>
      <c r="B31" s="46" t="s">
        <v>742</v>
      </c>
      <c r="C31" s="28"/>
      <c r="D31" s="28">
        <f>(D28/C28)*0.2*C31*(60/52.5)</f>
        <v>0</v>
      </c>
    </row>
    <row r="32" spans="1:4" ht="15.75" customHeight="1" x14ac:dyDescent="0.25">
      <c r="A32" s="45" t="s">
        <v>743</v>
      </c>
      <c r="B32" s="46" t="s">
        <v>744</v>
      </c>
      <c r="C32" s="28"/>
      <c r="D32" s="28">
        <f>(D28/C28)*1.5*C32</f>
        <v>0</v>
      </c>
    </row>
    <row r="33" spans="1:4" ht="15.75" customHeight="1" x14ac:dyDescent="0.25">
      <c r="A33" s="571" t="s">
        <v>745</v>
      </c>
      <c r="B33" s="572"/>
      <c r="C33" s="184"/>
      <c r="D33" s="185">
        <f>SUM(D28:D32)</f>
        <v>2156.7139999999999</v>
      </c>
    </row>
    <row r="34" spans="1:4" ht="15.75" customHeight="1" x14ac:dyDescent="0.25">
      <c r="A34" s="45" t="s">
        <v>746</v>
      </c>
      <c r="B34" s="46" t="s">
        <v>747</v>
      </c>
      <c r="C34" s="28"/>
      <c r="D34" s="28">
        <f>15*C34*(D28/C28)*1.5</f>
        <v>0</v>
      </c>
    </row>
    <row r="35" spans="1:4" ht="15.75" customHeight="1" x14ac:dyDescent="0.25">
      <c r="A35" s="45" t="s">
        <v>748</v>
      </c>
      <c r="B35" s="46" t="s">
        <v>749</v>
      </c>
      <c r="C35" s="139">
        <f>'DADOS CCT'!D12</f>
        <v>0</v>
      </c>
      <c r="D35" s="28">
        <f>D28*C35</f>
        <v>0</v>
      </c>
    </row>
    <row r="36" spans="1:4" ht="15.75" customHeight="1" x14ac:dyDescent="0.25">
      <c r="A36" s="45" t="s">
        <v>750</v>
      </c>
      <c r="B36" s="46" t="s">
        <v>751</v>
      </c>
      <c r="C36" s="136"/>
      <c r="D36" s="28">
        <f>D$28*C36</f>
        <v>0</v>
      </c>
    </row>
    <row r="37" spans="1:4" ht="15.75" customHeight="1" thickBot="1" x14ac:dyDescent="0.3">
      <c r="A37" s="575" t="s">
        <v>752</v>
      </c>
      <c r="B37" s="576"/>
      <c r="C37" s="188"/>
      <c r="D37" s="189">
        <f>SUM(D33:D36)</f>
        <v>2156.7139999999999</v>
      </c>
    </row>
    <row r="38" spans="1:4" ht="24" customHeight="1" x14ac:dyDescent="0.25">
      <c r="A38" s="577" t="s">
        <v>1233</v>
      </c>
      <c r="B38" s="578"/>
      <c r="C38" s="8"/>
      <c r="D38" s="127"/>
    </row>
    <row r="39" spans="1:4" ht="8.1" customHeight="1" thickBot="1" x14ac:dyDescent="0.3">
      <c r="A39" s="7"/>
      <c r="B39" s="16"/>
      <c r="C39" s="8"/>
      <c r="D39" s="127"/>
    </row>
    <row r="40" spans="1:4" ht="18" customHeight="1" x14ac:dyDescent="0.25">
      <c r="A40" s="579" t="s">
        <v>753</v>
      </c>
      <c r="B40" s="580"/>
      <c r="C40" s="142"/>
      <c r="D40" s="187"/>
    </row>
    <row r="41" spans="1:4" ht="6" customHeight="1" x14ac:dyDescent="0.25">
      <c r="A41" s="125"/>
      <c r="B41" s="42"/>
      <c r="C41" s="126"/>
      <c r="D41" s="127"/>
    </row>
    <row r="42" spans="1:4" ht="15.75" customHeight="1" x14ac:dyDescent="0.25">
      <c r="A42" s="581" t="s">
        <v>754</v>
      </c>
      <c r="B42" s="572"/>
      <c r="C42" s="182"/>
      <c r="D42" s="183" t="s">
        <v>734</v>
      </c>
    </row>
    <row r="43" spans="1:4" ht="15" customHeight="1" x14ac:dyDescent="0.25">
      <c r="A43" s="45" t="s">
        <v>755</v>
      </c>
      <c r="B43" s="46" t="s">
        <v>756</v>
      </c>
      <c r="C43" s="136">
        <v>8.3299999999999999E-2</v>
      </c>
      <c r="D43" s="28">
        <f>D$33*C43</f>
        <v>179.6542762</v>
      </c>
    </row>
    <row r="44" spans="1:4" ht="15" customHeight="1" x14ac:dyDescent="0.25">
      <c r="A44" s="45" t="s">
        <v>757</v>
      </c>
      <c r="B44" s="46" t="s">
        <v>758</v>
      </c>
      <c r="C44" s="143">
        <v>3.0249999999999999E-2</v>
      </c>
      <c r="D44" s="28">
        <f>D$33*C44</f>
        <v>65.24059849999999</v>
      </c>
    </row>
    <row r="45" spans="1:4" ht="15.75" customHeight="1" x14ac:dyDescent="0.25">
      <c r="A45" s="582" t="s">
        <v>752</v>
      </c>
      <c r="B45" s="572"/>
      <c r="C45" s="186"/>
      <c r="D45" s="185">
        <f>SUM(D43:D44)</f>
        <v>244.8948747</v>
      </c>
    </row>
    <row r="46" spans="1:4" ht="37.5" customHeight="1" x14ac:dyDescent="0.25">
      <c r="A46" s="583" t="s">
        <v>759</v>
      </c>
      <c r="B46" s="584"/>
      <c r="C46" s="141"/>
      <c r="D46" s="41"/>
    </row>
    <row r="47" spans="1:4" ht="8.1" customHeight="1" x14ac:dyDescent="0.25">
      <c r="A47" s="125"/>
      <c r="B47" s="33"/>
      <c r="C47" s="126"/>
      <c r="D47" s="127"/>
    </row>
    <row r="48" spans="1:4" ht="15.75" customHeight="1" x14ac:dyDescent="0.25">
      <c r="A48" s="581" t="s">
        <v>760</v>
      </c>
      <c r="B48" s="572"/>
      <c r="C48" s="182"/>
      <c r="D48" s="183" t="s">
        <v>734</v>
      </c>
    </row>
    <row r="49" spans="1:4" ht="15" customHeight="1" x14ac:dyDescent="0.25">
      <c r="A49" s="45" t="s">
        <v>761</v>
      </c>
      <c r="B49" s="46" t="s">
        <v>762</v>
      </c>
      <c r="C49" s="136">
        <v>0.2</v>
      </c>
      <c r="D49" s="28">
        <f t="shared" ref="D49:D57" si="0">(D$33+D$45)*C49</f>
        <v>480.32177494000001</v>
      </c>
    </row>
    <row r="50" spans="1:4" ht="15" customHeight="1" x14ac:dyDescent="0.25">
      <c r="A50" s="45" t="s">
        <v>763</v>
      </c>
      <c r="B50" s="46" t="s">
        <v>764</v>
      </c>
      <c r="C50" s="136">
        <v>2.5000000000000001E-2</v>
      </c>
      <c r="D50" s="28">
        <f t="shared" si="0"/>
        <v>60.040221867500001</v>
      </c>
    </row>
    <row r="51" spans="1:4" ht="15" customHeight="1" x14ac:dyDescent="0.25">
      <c r="A51" s="45" t="s">
        <v>765</v>
      </c>
      <c r="B51" s="46" t="s">
        <v>766</v>
      </c>
      <c r="C51" s="144">
        <f>'DADOS CCT'!D$22*'DADOS CCT'!D$23</f>
        <v>0.06</v>
      </c>
      <c r="D51" s="28">
        <f t="shared" si="0"/>
        <v>144.09653248199999</v>
      </c>
    </row>
    <row r="52" spans="1:4" ht="15" customHeight="1" x14ac:dyDescent="0.25">
      <c r="A52" s="45" t="s">
        <v>767</v>
      </c>
      <c r="B52" s="46" t="s">
        <v>768</v>
      </c>
      <c r="C52" s="136">
        <v>1.4999999999999999E-2</v>
      </c>
      <c r="D52" s="28">
        <f t="shared" si="0"/>
        <v>36.024133120499997</v>
      </c>
    </row>
    <row r="53" spans="1:4" ht="15" customHeight="1" x14ac:dyDescent="0.25">
      <c r="A53" s="45" t="s">
        <v>769</v>
      </c>
      <c r="B53" s="46" t="s">
        <v>770</v>
      </c>
      <c r="C53" s="136">
        <v>0.01</v>
      </c>
      <c r="D53" s="28">
        <f t="shared" si="0"/>
        <v>24.016088746999998</v>
      </c>
    </row>
    <row r="54" spans="1:4" ht="15" customHeight="1" x14ac:dyDescent="0.25">
      <c r="A54" s="45" t="s">
        <v>771</v>
      </c>
      <c r="B54" s="46" t="s">
        <v>772</v>
      </c>
      <c r="C54" s="136">
        <v>6.0000000000000001E-3</v>
      </c>
      <c r="D54" s="28">
        <f t="shared" si="0"/>
        <v>14.4096532482</v>
      </c>
    </row>
    <row r="55" spans="1:4" ht="15" customHeight="1" x14ac:dyDescent="0.25">
      <c r="A55" s="45" t="s">
        <v>773</v>
      </c>
      <c r="B55" s="46" t="s">
        <v>774</v>
      </c>
      <c r="C55" s="136">
        <v>2E-3</v>
      </c>
      <c r="D55" s="28">
        <f t="shared" si="0"/>
        <v>4.8032177493999999</v>
      </c>
    </row>
    <row r="56" spans="1:4" ht="15" customHeight="1" x14ac:dyDescent="0.25">
      <c r="A56" s="45" t="s">
        <v>775</v>
      </c>
      <c r="B56" s="46" t="s">
        <v>776</v>
      </c>
      <c r="C56" s="136">
        <v>0.08</v>
      </c>
      <c r="D56" s="28">
        <f t="shared" si="0"/>
        <v>192.12870997599998</v>
      </c>
    </row>
    <row r="57" spans="1:4" ht="15" customHeight="1" x14ac:dyDescent="0.25">
      <c r="A57" s="45" t="s">
        <v>777</v>
      </c>
      <c r="B57" s="46" t="s">
        <v>778</v>
      </c>
      <c r="C57" s="136"/>
      <c r="D57" s="28">
        <f t="shared" si="0"/>
        <v>0</v>
      </c>
    </row>
    <row r="58" spans="1:4" ht="15.75" customHeight="1" x14ac:dyDescent="0.25">
      <c r="A58" s="585" t="s">
        <v>752</v>
      </c>
      <c r="B58" s="412"/>
      <c r="C58" s="137">
        <f>SUM(C49:C50,C51:C57)</f>
        <v>0.39800000000000008</v>
      </c>
      <c r="D58" s="138">
        <f>SUM(D49:D57)</f>
        <v>955.8403321305999</v>
      </c>
    </row>
    <row r="59" spans="1:4" ht="20.25" customHeight="1" x14ac:dyDescent="0.25">
      <c r="A59" s="583" t="s">
        <v>779</v>
      </c>
      <c r="B59" s="586"/>
      <c r="C59" s="141"/>
      <c r="D59" s="41"/>
    </row>
    <row r="60" spans="1:4" ht="8.1" customHeight="1" x14ac:dyDescent="0.25">
      <c r="A60" s="125"/>
      <c r="B60" s="33"/>
      <c r="C60" s="140"/>
      <c r="D60" s="127"/>
    </row>
    <row r="61" spans="1:4" ht="15.75" customHeight="1" x14ac:dyDescent="0.25">
      <c r="A61" s="581" t="s">
        <v>780</v>
      </c>
      <c r="B61" s="572"/>
      <c r="C61" s="182"/>
      <c r="D61" s="183" t="s">
        <v>734</v>
      </c>
    </row>
    <row r="62" spans="1:4" ht="15.75" customHeight="1" x14ac:dyDescent="0.25">
      <c r="A62" s="45" t="s">
        <v>781</v>
      </c>
      <c r="B62" s="46" t="s">
        <v>782</v>
      </c>
      <c r="C62" s="145"/>
      <c r="D62" s="138">
        <f>((C63*C64*C65)-D66)*C67</f>
        <v>117.5694</v>
      </c>
    </row>
    <row r="63" spans="1:4" ht="15.75" customHeight="1" x14ac:dyDescent="0.25">
      <c r="A63" s="45" t="s">
        <v>783</v>
      </c>
      <c r="B63" s="46" t="s">
        <v>784</v>
      </c>
      <c r="C63" s="146">
        <f>'DADOS CCT'!D13</f>
        <v>5</v>
      </c>
      <c r="D63" s="28">
        <v>0</v>
      </c>
    </row>
    <row r="64" spans="1:4" ht="15.75" customHeight="1" x14ac:dyDescent="0.25">
      <c r="A64" s="45" t="s">
        <v>785</v>
      </c>
      <c r="B64" s="46" t="s">
        <v>786</v>
      </c>
      <c r="C64" s="28">
        <v>2</v>
      </c>
      <c r="D64" s="28">
        <v>0</v>
      </c>
    </row>
    <row r="65" spans="1:4" ht="15.75" customHeight="1" x14ac:dyDescent="0.25">
      <c r="A65" s="45" t="s">
        <v>787</v>
      </c>
      <c r="B65" s="46" t="s">
        <v>788</v>
      </c>
      <c r="C65" s="147">
        <f>C$18</f>
        <v>21</v>
      </c>
      <c r="D65" s="28">
        <v>0</v>
      </c>
    </row>
    <row r="66" spans="1:4" ht="15.75" customHeight="1" x14ac:dyDescent="0.25">
      <c r="A66" s="45" t="s">
        <v>789</v>
      </c>
      <c r="B66" s="46" t="s">
        <v>790</v>
      </c>
      <c r="C66" s="136">
        <v>0.06</v>
      </c>
      <c r="D66" s="28">
        <f>C66*D$28</f>
        <v>92.430599999999998</v>
      </c>
    </row>
    <row r="67" spans="1:4" ht="15.75" customHeight="1" x14ac:dyDescent="0.25">
      <c r="A67" s="45" t="s">
        <v>791</v>
      </c>
      <c r="B67" s="46" t="s">
        <v>792</v>
      </c>
      <c r="C67" s="144">
        <f>'DADOS CCT'!D14</f>
        <v>1</v>
      </c>
      <c r="D67" s="28">
        <v>0</v>
      </c>
    </row>
    <row r="68" spans="1:4" ht="15.75" customHeight="1" x14ac:dyDescent="0.25">
      <c r="A68" s="45" t="s">
        <v>793</v>
      </c>
      <c r="B68" s="46" t="s">
        <v>794</v>
      </c>
      <c r="C68" s="136"/>
      <c r="D68" s="138">
        <f>(C69*C70)-D71</f>
        <v>402.79679999999996</v>
      </c>
    </row>
    <row r="69" spans="1:4" ht="15.75" customHeight="1" x14ac:dyDescent="0.25">
      <c r="A69" s="45" t="s">
        <v>795</v>
      </c>
      <c r="B69" s="46" t="s">
        <v>796</v>
      </c>
      <c r="C69" s="146">
        <f>'DADOS CCT'!D15</f>
        <v>23.68</v>
      </c>
      <c r="D69" s="28">
        <v>0</v>
      </c>
    </row>
    <row r="70" spans="1:4" ht="15.75" customHeight="1" x14ac:dyDescent="0.25">
      <c r="A70" s="45" t="s">
        <v>797</v>
      </c>
      <c r="B70" s="46" t="s">
        <v>798</v>
      </c>
      <c r="C70" s="147">
        <f>C$18</f>
        <v>21</v>
      </c>
      <c r="D70" s="28">
        <v>0</v>
      </c>
    </row>
    <row r="71" spans="1:4" ht="15.75" customHeight="1" x14ac:dyDescent="0.25">
      <c r="A71" s="45" t="s">
        <v>799</v>
      </c>
      <c r="B71" s="46" t="s">
        <v>800</v>
      </c>
      <c r="C71" s="144">
        <f>'DADOS CCT'!D17</f>
        <v>0.19</v>
      </c>
      <c r="D71" s="28">
        <f>(C69*C70)*C71</f>
        <v>94.483199999999997</v>
      </c>
    </row>
    <row r="72" spans="1:4" ht="15.75" customHeight="1" x14ac:dyDescent="0.25">
      <c r="A72" s="45" t="s">
        <v>801</v>
      </c>
      <c r="B72" s="46" t="s">
        <v>802</v>
      </c>
      <c r="C72" s="136"/>
      <c r="D72" s="208">
        <f>'DADOS CCT'!D$18</f>
        <v>19.420000000000002</v>
      </c>
    </row>
    <row r="73" spans="1:4" ht="15.75" customHeight="1" x14ac:dyDescent="0.25">
      <c r="A73" s="45" t="s">
        <v>803</v>
      </c>
      <c r="B73" s="46" t="s">
        <v>804</v>
      </c>
      <c r="C73" s="136"/>
      <c r="D73" s="28">
        <v>0</v>
      </c>
    </row>
    <row r="74" spans="1:4" ht="15.75" customHeight="1" x14ac:dyDescent="0.25">
      <c r="A74" s="45" t="s">
        <v>805</v>
      </c>
      <c r="B74" s="46" t="s">
        <v>778</v>
      </c>
      <c r="C74" s="136"/>
      <c r="D74" s="28">
        <v>0</v>
      </c>
    </row>
    <row r="75" spans="1:4" ht="15.75" customHeight="1" x14ac:dyDescent="0.25">
      <c r="A75" s="582" t="s">
        <v>752</v>
      </c>
      <c r="B75" s="572"/>
      <c r="C75" s="184"/>
      <c r="D75" s="185">
        <f>SUM(D62,D68,D72:D74)</f>
        <v>539.78619999999989</v>
      </c>
    </row>
    <row r="76" spans="1:4" ht="38.25" customHeight="1" x14ac:dyDescent="0.25">
      <c r="A76" s="583" t="s">
        <v>1102</v>
      </c>
      <c r="B76" s="586"/>
      <c r="C76" s="40"/>
      <c r="D76" s="41"/>
    </row>
    <row r="77" spans="1:4" ht="8.1" customHeight="1" x14ac:dyDescent="0.25">
      <c r="A77" s="125"/>
      <c r="B77" s="33"/>
      <c r="C77" s="140"/>
      <c r="D77" s="127"/>
    </row>
    <row r="78" spans="1:4" ht="15.75" customHeight="1" x14ac:dyDescent="0.25">
      <c r="A78" s="581" t="s">
        <v>806</v>
      </c>
      <c r="B78" s="572"/>
      <c r="C78" s="182"/>
      <c r="D78" s="183" t="s">
        <v>734</v>
      </c>
    </row>
    <row r="79" spans="1:4" ht="15.75" customHeight="1" x14ac:dyDescent="0.25">
      <c r="A79" s="45" t="s">
        <v>807</v>
      </c>
      <c r="B79" s="46" t="s">
        <v>808</v>
      </c>
      <c r="C79" s="136"/>
      <c r="D79" s="28">
        <f>D45</f>
        <v>244.8948747</v>
      </c>
    </row>
    <row r="80" spans="1:4" ht="15.75" customHeight="1" x14ac:dyDescent="0.25">
      <c r="A80" s="45" t="s">
        <v>809</v>
      </c>
      <c r="B80" s="46" t="s">
        <v>810</v>
      </c>
      <c r="C80" s="28"/>
      <c r="D80" s="28">
        <f>D58</f>
        <v>955.8403321305999</v>
      </c>
    </row>
    <row r="81" spans="1:4" ht="15.75" customHeight="1" x14ac:dyDescent="0.25">
      <c r="A81" s="45" t="s">
        <v>811</v>
      </c>
      <c r="B81" s="46" t="s">
        <v>812</v>
      </c>
      <c r="C81" s="28"/>
      <c r="D81" s="28">
        <f>D75</f>
        <v>539.78619999999989</v>
      </c>
    </row>
    <row r="82" spans="1:4" ht="15.75" customHeight="1" thickBot="1" x14ac:dyDescent="0.3">
      <c r="A82" s="589" t="s">
        <v>752</v>
      </c>
      <c r="B82" s="590"/>
      <c r="C82" s="180"/>
      <c r="D82" s="181">
        <f>SUM(D79:D81)</f>
        <v>1740.5214068306</v>
      </c>
    </row>
    <row r="83" spans="1:4" ht="8.1" customHeight="1" x14ac:dyDescent="0.25">
      <c r="A83" s="148"/>
      <c r="B83" s="149"/>
      <c r="C83" s="40"/>
      <c r="D83" s="41"/>
    </row>
    <row r="84" spans="1:4" ht="8.1" customHeight="1" thickBot="1" x14ac:dyDescent="0.3">
      <c r="A84" s="4"/>
      <c r="B84" s="1"/>
      <c r="C84" s="22"/>
      <c r="D84" s="6"/>
    </row>
    <row r="85" spans="1:4" ht="18" customHeight="1" x14ac:dyDescent="0.25">
      <c r="A85" s="591" t="s">
        <v>813</v>
      </c>
      <c r="B85" s="592"/>
      <c r="C85" s="12"/>
      <c r="D85" s="150" t="s">
        <v>734</v>
      </c>
    </row>
    <row r="86" spans="1:4" ht="15.75" customHeight="1" x14ac:dyDescent="0.25">
      <c r="A86" s="209" t="s">
        <v>814</v>
      </c>
      <c r="B86" s="210" t="s">
        <v>815</v>
      </c>
      <c r="C86" s="211">
        <v>0.05</v>
      </c>
      <c r="D86" s="212">
        <f>(D$33/$C$11)*C86*C89</f>
        <v>8.9863083333333336</v>
      </c>
    </row>
    <row r="87" spans="1:4" ht="15.75" customHeight="1" x14ac:dyDescent="0.25">
      <c r="A87" s="209" t="s">
        <v>816</v>
      </c>
      <c r="B87" s="210" t="s">
        <v>817</v>
      </c>
      <c r="C87" s="211">
        <f>C56</f>
        <v>0.08</v>
      </c>
      <c r="D87" s="212">
        <f>D86*C87</f>
        <v>0.71890466666666675</v>
      </c>
    </row>
    <row r="88" spans="1:4" ht="15.75" customHeight="1" x14ac:dyDescent="0.25">
      <c r="A88" s="209" t="s">
        <v>818</v>
      </c>
      <c r="B88" s="210" t="s">
        <v>819</v>
      </c>
      <c r="C88" s="211">
        <v>0.04</v>
      </c>
      <c r="D88" s="212">
        <f>D$33*C88</f>
        <v>86.268559999999994</v>
      </c>
    </row>
    <row r="89" spans="1:4" ht="15.75" customHeight="1" x14ac:dyDescent="0.25">
      <c r="A89" s="213" t="s">
        <v>820</v>
      </c>
      <c r="B89" s="214" t="s">
        <v>821</v>
      </c>
      <c r="C89" s="215">
        <v>1</v>
      </c>
      <c r="D89" s="216">
        <v>0</v>
      </c>
    </row>
    <row r="90" spans="1:4" ht="15.75" customHeight="1" x14ac:dyDescent="0.25">
      <c r="A90" s="18" t="s">
        <v>822</v>
      </c>
      <c r="B90" s="13" t="s">
        <v>823</v>
      </c>
      <c r="C90" s="15">
        <v>0.9</v>
      </c>
      <c r="D90" s="14">
        <f>(((D$33/30)*7)/12)*C90*C93</f>
        <v>37.742495000000005</v>
      </c>
    </row>
    <row r="91" spans="1:4" ht="15.75" customHeight="1" x14ac:dyDescent="0.25">
      <c r="A91" s="18" t="s">
        <v>820</v>
      </c>
      <c r="B91" s="13" t="s">
        <v>824</v>
      </c>
      <c r="C91" s="15">
        <f>C58</f>
        <v>0.39800000000000008</v>
      </c>
      <c r="D91" s="14">
        <f>D90*C91</f>
        <v>15.021513010000005</v>
      </c>
    </row>
    <row r="92" spans="1:4" ht="15.75" customHeight="1" x14ac:dyDescent="0.25">
      <c r="A92" s="18" t="s">
        <v>822</v>
      </c>
      <c r="B92" s="13" t="s">
        <v>825</v>
      </c>
      <c r="C92" s="17">
        <v>3.8080000000000003E-2</v>
      </c>
      <c r="D92" s="14">
        <f>D$33*C92</f>
        <v>82.127669120000007</v>
      </c>
    </row>
    <row r="93" spans="1:4" ht="15.75" customHeight="1" x14ac:dyDescent="0.25">
      <c r="A93" s="66" t="s">
        <v>826</v>
      </c>
      <c r="B93" s="34" t="s">
        <v>827</v>
      </c>
      <c r="C93" s="67">
        <v>1</v>
      </c>
      <c r="D93" s="35">
        <v>0</v>
      </c>
    </row>
    <row r="94" spans="1:4" ht="15.75" customHeight="1" thickBot="1" x14ac:dyDescent="0.3">
      <c r="A94" s="593" t="s">
        <v>752</v>
      </c>
      <c r="B94" s="594"/>
      <c r="C94" s="172"/>
      <c r="D94" s="173">
        <f>SUM(D86:D88,D90:D92)</f>
        <v>230.86545013000003</v>
      </c>
    </row>
    <row r="95" spans="1:4" ht="54" customHeight="1" x14ac:dyDescent="0.25">
      <c r="A95" s="577" t="s">
        <v>828</v>
      </c>
      <c r="B95" s="578"/>
      <c r="C95" s="3"/>
      <c r="D95" s="41"/>
    </row>
    <row r="96" spans="1:4" ht="15.95" customHeight="1" thickBot="1" x14ac:dyDescent="0.3">
      <c r="A96" s="4"/>
      <c r="B96" s="1"/>
      <c r="C96" s="22"/>
      <c r="D96" s="6"/>
    </row>
    <row r="97" spans="1:4" ht="18" customHeight="1" x14ac:dyDescent="0.25">
      <c r="A97" s="591" t="s">
        <v>829</v>
      </c>
      <c r="B97" s="592"/>
      <c r="C97" s="12"/>
      <c r="D97" s="150" t="s">
        <v>734</v>
      </c>
    </row>
    <row r="98" spans="1:4" ht="8.1" customHeight="1" x14ac:dyDescent="0.25">
      <c r="A98" s="7"/>
      <c r="C98" s="8"/>
      <c r="D98" s="127"/>
    </row>
    <row r="99" spans="1:4" ht="15.75" customHeight="1" x14ac:dyDescent="0.25">
      <c r="A99" s="587" t="s">
        <v>830</v>
      </c>
      <c r="B99" s="588"/>
      <c r="C99" s="151"/>
      <c r="D99" s="152">
        <f>SUM(D33,D45,D102)</f>
        <v>2597.3306702</v>
      </c>
    </row>
    <row r="100" spans="1:4" ht="8.1" customHeight="1" x14ac:dyDescent="0.25">
      <c r="A100" s="7"/>
      <c r="C100" s="8"/>
      <c r="D100" s="127"/>
    </row>
    <row r="101" spans="1:4" ht="15.75" customHeight="1" x14ac:dyDescent="0.25">
      <c r="A101" s="587" t="s">
        <v>831</v>
      </c>
      <c r="B101" s="588"/>
      <c r="C101" s="151"/>
      <c r="D101" s="152" t="s">
        <v>734</v>
      </c>
    </row>
    <row r="102" spans="1:4" ht="15.75" customHeight="1" x14ac:dyDescent="0.25">
      <c r="A102" s="18" t="s">
        <v>832</v>
      </c>
      <c r="B102" s="13" t="s">
        <v>833</v>
      </c>
      <c r="C102" s="17">
        <v>9.0749999999999997E-2</v>
      </c>
      <c r="D102" s="14">
        <f>D$33*C102</f>
        <v>195.72179549999998</v>
      </c>
    </row>
    <row r="103" spans="1:4" ht="15.75" customHeight="1" x14ac:dyDescent="0.25">
      <c r="A103" s="18" t="s">
        <v>834</v>
      </c>
      <c r="B103" s="13" t="s">
        <v>835</v>
      </c>
      <c r="C103" s="14">
        <v>1</v>
      </c>
      <c r="D103" s="14">
        <f>((D99/30)*C103)/12</f>
        <v>7.2148074172222216</v>
      </c>
    </row>
    <row r="104" spans="1:4" ht="15.75" customHeight="1" x14ac:dyDescent="0.25">
      <c r="A104" s="18" t="s">
        <v>836</v>
      </c>
      <c r="B104" s="13" t="s">
        <v>837</v>
      </c>
      <c r="C104" s="15">
        <v>1.4999999999999999E-2</v>
      </c>
      <c r="D104" s="14">
        <f>((D99/30)*5/12)*C104</f>
        <v>0.5411105562916666</v>
      </c>
    </row>
    <row r="105" spans="1:4" ht="15.75" customHeight="1" x14ac:dyDescent="0.25">
      <c r="A105" s="18" t="s">
        <v>838</v>
      </c>
      <c r="B105" s="13" t="s">
        <v>839</v>
      </c>
      <c r="C105" s="15">
        <v>7.7999999999999996E-3</v>
      </c>
      <c r="D105" s="14">
        <f>((D99/30)*15/12)*C105</f>
        <v>0.84413246781499995</v>
      </c>
    </row>
    <row r="106" spans="1:4" ht="15.75" customHeight="1" x14ac:dyDescent="0.25">
      <c r="A106" s="18" t="s">
        <v>840</v>
      </c>
      <c r="B106" s="13" t="s">
        <v>841</v>
      </c>
      <c r="C106" s="15">
        <v>0.02</v>
      </c>
      <c r="D106" s="14">
        <f>(((D33+(D33/3))/12)*(4/12))*C106</f>
        <v>1.5975659259259261</v>
      </c>
    </row>
    <row r="107" spans="1:4" ht="15.75" customHeight="1" x14ac:dyDescent="0.25">
      <c r="A107" s="18" t="s">
        <v>842</v>
      </c>
      <c r="B107" s="13" t="s">
        <v>843</v>
      </c>
      <c r="C107" s="14">
        <v>3</v>
      </c>
      <c r="D107" s="14">
        <f>((D99/30)*C107)/12</f>
        <v>21.644422251666665</v>
      </c>
    </row>
    <row r="108" spans="1:4" ht="15.75" customHeight="1" x14ac:dyDescent="0.25">
      <c r="A108" s="18" t="s">
        <v>844</v>
      </c>
      <c r="B108" s="13" t="s">
        <v>845</v>
      </c>
      <c r="C108" s="14"/>
      <c r="D108" s="14">
        <f>((D99/30)*C108)/12</f>
        <v>0</v>
      </c>
    </row>
    <row r="109" spans="1:4" ht="15.75" customHeight="1" x14ac:dyDescent="0.25">
      <c r="A109" s="595" t="s">
        <v>752</v>
      </c>
      <c r="B109" s="588"/>
      <c r="C109" s="175"/>
      <c r="D109" s="44">
        <f>SUM(D102:D107)</f>
        <v>227.56383411892148</v>
      </c>
    </row>
    <row r="110" spans="1:4" ht="15.75" customHeight="1" x14ac:dyDescent="0.25">
      <c r="A110" s="18" t="s">
        <v>846</v>
      </c>
      <c r="B110" s="13" t="s">
        <v>847</v>
      </c>
      <c r="C110" s="15">
        <f>C58</f>
        <v>0.39800000000000008</v>
      </c>
      <c r="D110" s="14">
        <f>D109*C110</f>
        <v>90.570405979330772</v>
      </c>
    </row>
    <row r="111" spans="1:4" ht="15.75" customHeight="1" x14ac:dyDescent="0.25">
      <c r="A111" s="596" t="s">
        <v>752</v>
      </c>
      <c r="B111" s="588"/>
      <c r="C111" s="179"/>
      <c r="D111" s="178">
        <f>SUM(D109:D110)</f>
        <v>318.13424009825223</v>
      </c>
    </row>
    <row r="112" spans="1:4" ht="61.5" customHeight="1" x14ac:dyDescent="0.25">
      <c r="A112" s="577" t="s">
        <v>848</v>
      </c>
      <c r="B112" s="578"/>
      <c r="C112" s="3"/>
      <c r="D112" s="41"/>
    </row>
    <row r="113" spans="1:4" ht="8.1" customHeight="1" x14ac:dyDescent="0.25">
      <c r="A113" s="125"/>
      <c r="B113" s="42"/>
      <c r="C113" s="140"/>
      <c r="D113" s="127"/>
    </row>
    <row r="114" spans="1:4" ht="15.75" customHeight="1" x14ac:dyDescent="0.25">
      <c r="A114" s="587" t="s">
        <v>849</v>
      </c>
      <c r="B114" s="588"/>
      <c r="C114" s="151"/>
      <c r="D114" s="152" t="s">
        <v>734</v>
      </c>
    </row>
    <row r="115" spans="1:4" ht="15.75" customHeight="1" x14ac:dyDescent="0.25">
      <c r="A115" s="18" t="s">
        <v>850</v>
      </c>
      <c r="B115" s="13" t="s">
        <v>851</v>
      </c>
      <c r="C115" s="14">
        <v>0</v>
      </c>
      <c r="D115" s="14">
        <f>((D$37+D$82)/C$28)*C115*C$18</f>
        <v>0</v>
      </c>
    </row>
    <row r="116" spans="1:4" ht="15.75" customHeight="1" x14ac:dyDescent="0.25">
      <c r="A116" s="18" t="s">
        <v>852</v>
      </c>
      <c r="B116" s="13" t="s">
        <v>853</v>
      </c>
      <c r="C116" s="15">
        <f>C58</f>
        <v>0.39800000000000008</v>
      </c>
      <c r="D116" s="14">
        <f>D115*C116</f>
        <v>0</v>
      </c>
    </row>
    <row r="117" spans="1:4" ht="15.75" customHeight="1" x14ac:dyDescent="0.25">
      <c r="A117" s="596" t="s">
        <v>752</v>
      </c>
      <c r="B117" s="588"/>
      <c r="C117" s="177"/>
      <c r="D117" s="178">
        <f>SUM(D115:D116)</f>
        <v>0</v>
      </c>
    </row>
    <row r="118" spans="1:4" ht="38.25" customHeight="1" x14ac:dyDescent="0.25">
      <c r="A118" s="577"/>
      <c r="B118" s="578"/>
      <c r="C118" s="3"/>
      <c r="D118" s="41"/>
    </row>
    <row r="119" spans="1:4" ht="8.1" customHeight="1" x14ac:dyDescent="0.25">
      <c r="A119" s="7"/>
      <c r="C119" s="20"/>
      <c r="D119" s="127"/>
    </row>
    <row r="120" spans="1:4" ht="15.75" customHeight="1" x14ac:dyDescent="0.25">
      <c r="A120" s="587" t="s">
        <v>854</v>
      </c>
      <c r="B120" s="588"/>
      <c r="C120" s="151"/>
      <c r="D120" s="152" t="s">
        <v>734</v>
      </c>
    </row>
    <row r="121" spans="1:4" ht="15.75" customHeight="1" x14ac:dyDescent="0.25">
      <c r="A121" s="18" t="s">
        <v>855</v>
      </c>
      <c r="B121" s="13" t="s">
        <v>856</v>
      </c>
      <c r="C121" s="15"/>
      <c r="D121" s="14">
        <f>D111</f>
        <v>318.13424009825223</v>
      </c>
    </row>
    <row r="122" spans="1:4" ht="15.75" customHeight="1" x14ac:dyDescent="0.25">
      <c r="A122" s="18" t="s">
        <v>857</v>
      </c>
      <c r="B122" s="13" t="s">
        <v>858</v>
      </c>
      <c r="C122" s="14"/>
      <c r="D122" s="14">
        <f>D117</f>
        <v>0</v>
      </c>
    </row>
    <row r="123" spans="1:4" ht="15.75" customHeight="1" thickBot="1" x14ac:dyDescent="0.3">
      <c r="A123" s="593" t="s">
        <v>752</v>
      </c>
      <c r="B123" s="594"/>
      <c r="C123" s="172"/>
      <c r="D123" s="173">
        <f>SUM(D121:D122)</f>
        <v>318.13424009825223</v>
      </c>
    </row>
    <row r="124" spans="1:4" ht="8.1" customHeight="1" x14ac:dyDescent="0.25">
      <c r="A124" s="153"/>
      <c r="B124" s="154"/>
      <c r="C124" s="155"/>
      <c r="D124" s="156"/>
    </row>
    <row r="125" spans="1:4" ht="8.1" customHeight="1" thickBot="1" x14ac:dyDescent="0.3">
      <c r="A125" s="125"/>
      <c r="B125" s="42"/>
      <c r="C125" s="140"/>
      <c r="D125" s="127"/>
    </row>
    <row r="126" spans="1:4" ht="18" customHeight="1" x14ac:dyDescent="0.25">
      <c r="A126" s="591" t="s">
        <v>859</v>
      </c>
      <c r="B126" s="592"/>
      <c r="C126" s="12"/>
      <c r="D126" s="150" t="s">
        <v>734</v>
      </c>
    </row>
    <row r="127" spans="1:4" ht="15.75" customHeight="1" x14ac:dyDescent="0.25">
      <c r="A127" s="174" t="s">
        <v>860</v>
      </c>
      <c r="B127" s="175" t="s">
        <v>861</v>
      </c>
      <c r="C127" s="176"/>
      <c r="D127" s="44">
        <f>tbUNIFORMESL[[#Totals],[VL. MENSAL]]</f>
        <v>167.72833333333332</v>
      </c>
    </row>
    <row r="128" spans="1:4" ht="15.75" customHeight="1" x14ac:dyDescent="0.25">
      <c r="A128" s="174" t="s">
        <v>862</v>
      </c>
      <c r="B128" s="175" t="s">
        <v>863</v>
      </c>
      <c r="C128" s="176"/>
      <c r="D128" s="44">
        <v>0</v>
      </c>
    </row>
    <row r="129" spans="1:4" ht="15.75" customHeight="1" x14ac:dyDescent="0.25">
      <c r="A129" s="174" t="s">
        <v>864</v>
      </c>
      <c r="B129" s="175" t="s">
        <v>865</v>
      </c>
      <c r="C129" s="176"/>
      <c r="D129" s="44">
        <v>0</v>
      </c>
    </row>
    <row r="130" spans="1:4" ht="15.75" customHeight="1" x14ac:dyDescent="0.25">
      <c r="A130" s="174" t="s">
        <v>866</v>
      </c>
      <c r="B130" s="175" t="s">
        <v>867</v>
      </c>
      <c r="C130" s="176"/>
      <c r="D130" s="44">
        <v>0</v>
      </c>
    </row>
    <row r="131" spans="1:4" ht="15.75" customHeight="1" thickBot="1" x14ac:dyDescent="0.3">
      <c r="A131" s="593" t="s">
        <v>752</v>
      </c>
      <c r="B131" s="594"/>
      <c r="C131" s="172"/>
      <c r="D131" s="173">
        <f>SUM(D127:D130)</f>
        <v>167.72833333333332</v>
      </c>
    </row>
    <row r="132" spans="1:4" ht="15.95" customHeight="1" thickBot="1" x14ac:dyDescent="0.3">
      <c r="A132" s="4"/>
      <c r="B132" s="1"/>
      <c r="C132" s="22"/>
      <c r="D132" s="6"/>
    </row>
    <row r="133" spans="1:4" ht="18" customHeight="1" x14ac:dyDescent="0.25">
      <c r="A133" s="591" t="s">
        <v>868</v>
      </c>
      <c r="B133" s="592"/>
      <c r="C133" s="12"/>
      <c r="D133" s="150" t="s">
        <v>734</v>
      </c>
    </row>
    <row r="134" spans="1:4" ht="8.1" customHeight="1" x14ac:dyDescent="0.25">
      <c r="A134" s="7"/>
      <c r="C134" s="8"/>
      <c r="D134" s="127"/>
    </row>
    <row r="135" spans="1:4" ht="15.75" customHeight="1" x14ac:dyDescent="0.25">
      <c r="A135" s="587" t="s">
        <v>869</v>
      </c>
      <c r="B135" s="588"/>
      <c r="C135" s="151"/>
      <c r="D135" s="152">
        <f>SUM(D37,D82,D94,D123,D131)</f>
        <v>4613.9634303921857</v>
      </c>
    </row>
    <row r="136" spans="1:4" ht="8.1" customHeight="1" x14ac:dyDescent="0.25">
      <c r="A136" s="7"/>
      <c r="C136" s="8"/>
      <c r="D136" s="127"/>
    </row>
    <row r="137" spans="1:4" ht="15.75" customHeight="1" x14ac:dyDescent="0.25">
      <c r="A137" s="66" t="s">
        <v>870</v>
      </c>
      <c r="B137" s="34" t="s">
        <v>871</v>
      </c>
      <c r="C137" s="67">
        <v>0.05</v>
      </c>
      <c r="D137" s="35">
        <f>D$135*C137</f>
        <v>230.6981715196093</v>
      </c>
    </row>
    <row r="138" spans="1:4" ht="15.75" customHeight="1" x14ac:dyDescent="0.25">
      <c r="A138" s="66" t="s">
        <v>872</v>
      </c>
      <c r="B138" s="34" t="s">
        <v>873</v>
      </c>
      <c r="C138" s="67">
        <v>0.1</v>
      </c>
      <c r="D138" s="35">
        <f>SUM(D135,D137)*C138</f>
        <v>484.46616019117948</v>
      </c>
    </row>
    <row r="139" spans="1:4" ht="8.1" customHeight="1" x14ac:dyDescent="0.25">
      <c r="A139" s="7"/>
      <c r="C139" s="8"/>
      <c r="D139" s="127"/>
    </row>
    <row r="140" spans="1:4" ht="15.75" customHeight="1" x14ac:dyDescent="0.25">
      <c r="A140" s="587" t="s">
        <v>874</v>
      </c>
      <c r="B140" s="588"/>
      <c r="C140" s="151"/>
      <c r="D140" s="152">
        <f>SUM(D135,D137:D138)</f>
        <v>5329.127762102974</v>
      </c>
    </row>
    <row r="141" spans="1:4" ht="8.1" customHeight="1" x14ac:dyDescent="0.25">
      <c r="A141" s="7"/>
      <c r="C141" s="8"/>
      <c r="D141" s="127"/>
    </row>
    <row r="142" spans="1:4" ht="15.75" customHeight="1" x14ac:dyDescent="0.25">
      <c r="A142" s="18" t="s">
        <v>875</v>
      </c>
      <c r="B142" s="13" t="s">
        <v>876</v>
      </c>
      <c r="C142" s="19">
        <f>'DADOS CCT'!D21</f>
        <v>7.5999999999999998E-2</v>
      </c>
      <c r="D142" s="14">
        <f>(D$140/(1-C$146))*C142</f>
        <v>466.87459356752282</v>
      </c>
    </row>
    <row r="143" spans="1:4" ht="15.75" customHeight="1" x14ac:dyDescent="0.25">
      <c r="A143" s="18" t="s">
        <v>877</v>
      </c>
      <c r="B143" s="13" t="s">
        <v>878</v>
      </c>
      <c r="C143" s="19">
        <f>'DADOS CCT'!D20</f>
        <v>1.6500000000000001E-2</v>
      </c>
      <c r="D143" s="14">
        <f>(D$140/(1-C$146))*C143</f>
        <v>101.3609314982122</v>
      </c>
    </row>
    <row r="144" spans="1:4" ht="15.75" customHeight="1" x14ac:dyDescent="0.25">
      <c r="A144" s="18" t="s">
        <v>879</v>
      </c>
      <c r="B144" s="13" t="s">
        <v>880</v>
      </c>
      <c r="C144" s="15"/>
      <c r="D144" s="14">
        <f>(D$140/(1-C$146))*C144</f>
        <v>0</v>
      </c>
    </row>
    <row r="145" spans="1:4" ht="15.75" customHeight="1" x14ac:dyDescent="0.25">
      <c r="A145" s="18" t="s">
        <v>881</v>
      </c>
      <c r="B145" s="13" t="s">
        <v>882</v>
      </c>
      <c r="C145" s="19">
        <f>'DADOS CCT'!D19</f>
        <v>0.04</v>
      </c>
      <c r="D145" s="14">
        <f>(D$140/(1-C$146))*C145</f>
        <v>245.72347029869624</v>
      </c>
    </row>
    <row r="146" spans="1:4" ht="15.75" customHeight="1" thickBot="1" x14ac:dyDescent="0.3">
      <c r="A146" s="599" t="s">
        <v>752</v>
      </c>
      <c r="B146" s="600"/>
      <c r="C146" s="43">
        <f>SUM(C142:C145)</f>
        <v>0.13250000000000001</v>
      </c>
      <c r="D146" s="39">
        <f>SUM(D137:D138,D142:D145)</f>
        <v>1529.12332707522</v>
      </c>
    </row>
    <row r="147" spans="1:4" ht="15.95" customHeight="1" thickBot="1" x14ac:dyDescent="0.3">
      <c r="A147" s="4"/>
      <c r="B147" s="1"/>
      <c r="C147" s="22"/>
      <c r="D147" s="6"/>
    </row>
    <row r="148" spans="1:4" ht="18" customHeight="1" x14ac:dyDescent="0.25">
      <c r="A148" s="601" t="s">
        <v>883</v>
      </c>
      <c r="B148" s="602"/>
      <c r="C148" s="170"/>
      <c r="D148" s="171" t="s">
        <v>734</v>
      </c>
    </row>
    <row r="149" spans="1:4" ht="15.75" customHeight="1" x14ac:dyDescent="0.25">
      <c r="A149" s="45"/>
      <c r="B149" s="46" t="s">
        <v>884</v>
      </c>
      <c r="C149" s="136"/>
      <c r="D149" s="28">
        <f>D37</f>
        <v>2156.7139999999999</v>
      </c>
    </row>
    <row r="150" spans="1:4" ht="15.75" customHeight="1" x14ac:dyDescent="0.25">
      <c r="A150" s="45"/>
      <c r="B150" s="46" t="s">
        <v>885</v>
      </c>
      <c r="C150" s="136"/>
      <c r="D150" s="28">
        <f>D82</f>
        <v>1740.5214068306</v>
      </c>
    </row>
    <row r="151" spans="1:4" ht="15.75" customHeight="1" x14ac:dyDescent="0.25">
      <c r="A151" s="45"/>
      <c r="B151" s="46" t="s">
        <v>886</v>
      </c>
      <c r="C151" s="143"/>
      <c r="D151" s="28">
        <f>D94</f>
        <v>230.86545013000003</v>
      </c>
    </row>
    <row r="152" spans="1:4" ht="15.75" customHeight="1" x14ac:dyDescent="0.25">
      <c r="A152" s="45"/>
      <c r="B152" s="46" t="s">
        <v>887</v>
      </c>
      <c r="C152" s="136"/>
      <c r="D152" s="28">
        <f>D123</f>
        <v>318.13424009825223</v>
      </c>
    </row>
    <row r="153" spans="1:4" ht="15.75" customHeight="1" x14ac:dyDescent="0.25">
      <c r="A153" s="45"/>
      <c r="B153" s="46" t="s">
        <v>888</v>
      </c>
      <c r="C153" s="136"/>
      <c r="D153" s="28">
        <f>D131</f>
        <v>167.72833333333332</v>
      </c>
    </row>
    <row r="154" spans="1:4" ht="15.75" customHeight="1" x14ac:dyDescent="0.25">
      <c r="A154" s="585" t="s">
        <v>752</v>
      </c>
      <c r="B154" s="412"/>
      <c r="C154" s="137"/>
      <c r="D154" s="138">
        <f>SUM(D149:D153)</f>
        <v>4613.9634303921857</v>
      </c>
    </row>
    <row r="155" spans="1:4" ht="15.75" customHeight="1" x14ac:dyDescent="0.25">
      <c r="A155" s="45"/>
      <c r="B155" s="46" t="s">
        <v>889</v>
      </c>
      <c r="C155" s="143"/>
      <c r="D155" s="28">
        <f>D146</f>
        <v>1529.12332707522</v>
      </c>
    </row>
    <row r="156" spans="1:4" ht="15.75" customHeight="1" thickBot="1" x14ac:dyDescent="0.35">
      <c r="A156" s="603" t="s">
        <v>890</v>
      </c>
      <c r="B156" s="604"/>
      <c r="C156" s="168"/>
      <c r="D156" s="169">
        <f>TRUNC(SUM(D154:D155),2)</f>
        <v>6143.08</v>
      </c>
    </row>
    <row r="157" spans="1:4" ht="8.1" customHeight="1" thickBot="1" x14ac:dyDescent="0.3">
      <c r="A157" s="9"/>
      <c r="B157" s="10"/>
      <c r="C157" s="21"/>
      <c r="D157" s="11"/>
    </row>
    <row r="158" spans="1:4" ht="15.75" customHeight="1" thickBot="1" x14ac:dyDescent="0.3">
      <c r="A158" s="605" t="s">
        <v>891</v>
      </c>
      <c r="B158" s="470"/>
      <c r="C158" s="166"/>
      <c r="D158" s="167">
        <v>1</v>
      </c>
    </row>
    <row r="159" spans="1:4" ht="8.1" customHeight="1" thickBot="1" x14ac:dyDescent="0.3">
      <c r="A159" s="9"/>
      <c r="B159" s="10"/>
      <c r="C159" s="21"/>
      <c r="D159" s="11"/>
    </row>
    <row r="160" spans="1:4" ht="15.75" customHeight="1" thickBot="1" x14ac:dyDescent="0.35">
      <c r="A160" s="597" t="s">
        <v>892</v>
      </c>
      <c r="B160" s="598"/>
      <c r="C160" s="164"/>
      <c r="D160" s="165">
        <f>TRUNC(D156*D158,2)</f>
        <v>6143.08</v>
      </c>
    </row>
    <row r="161" spans="1:4" ht="15.95" customHeight="1" thickBot="1" x14ac:dyDescent="0.3"/>
    <row r="162" spans="1:4" ht="15.75" customHeight="1" thickBot="1" x14ac:dyDescent="0.35">
      <c r="A162" s="561" t="s">
        <v>893</v>
      </c>
      <c r="B162" s="562"/>
      <c r="C162" s="162"/>
      <c r="D162" s="163">
        <f>D156/D37</f>
        <v>2.848351705418521</v>
      </c>
    </row>
    <row r="163" spans="1:4" ht="15.95" customHeight="1" thickBot="1" x14ac:dyDescent="0.3">
      <c r="A163" s="33"/>
      <c r="B163" s="33"/>
      <c r="C163" s="33"/>
    </row>
    <row r="164" spans="1:4" ht="15.75" customHeight="1" x14ac:dyDescent="0.3">
      <c r="A164" s="551" t="s">
        <v>894</v>
      </c>
      <c r="B164" s="551"/>
      <c r="C164" s="160"/>
      <c r="D164" s="161"/>
    </row>
    <row r="165" spans="1:4" ht="15" customHeight="1" thickBot="1" x14ac:dyDescent="0.3">
      <c r="A165" s="157"/>
      <c r="B165" s="157" t="s">
        <v>895</v>
      </c>
      <c r="C165" s="157"/>
      <c r="D165" s="158">
        <f>TRUNC(D156/C$18,2)</f>
        <v>292.52</v>
      </c>
    </row>
  </sheetData>
  <mergeCells count="65">
    <mergeCell ref="C15:D15"/>
    <mergeCell ref="C3:D3"/>
    <mergeCell ref="C4:D4"/>
    <mergeCell ref="C5:D5"/>
    <mergeCell ref="A7:B7"/>
    <mergeCell ref="C8:D8"/>
    <mergeCell ref="C9:D9"/>
    <mergeCell ref="C10:D10"/>
    <mergeCell ref="C11:D11"/>
    <mergeCell ref="C12:D12"/>
    <mergeCell ref="C13:D13"/>
    <mergeCell ref="C14:D14"/>
    <mergeCell ref="A33:B33"/>
    <mergeCell ref="C16:D16"/>
    <mergeCell ref="C17:D17"/>
    <mergeCell ref="C18:D18"/>
    <mergeCell ref="C19:D19"/>
    <mergeCell ref="C20:D20"/>
    <mergeCell ref="C21:D21"/>
    <mergeCell ref="C22:D22"/>
    <mergeCell ref="C23:D23"/>
    <mergeCell ref="A25:B25"/>
    <mergeCell ref="C25:D25"/>
    <mergeCell ref="A27:B27"/>
    <mergeCell ref="A76:B76"/>
    <mergeCell ref="A37:B37"/>
    <mergeCell ref="A38:B38"/>
    <mergeCell ref="A40:B40"/>
    <mergeCell ref="A42:B42"/>
    <mergeCell ref="A45:B45"/>
    <mergeCell ref="A46:B46"/>
    <mergeCell ref="A48:B48"/>
    <mergeCell ref="A58:B58"/>
    <mergeCell ref="A59:B59"/>
    <mergeCell ref="A61:B61"/>
    <mergeCell ref="A75:B75"/>
    <mergeCell ref="A114:B114"/>
    <mergeCell ref="A78:B78"/>
    <mergeCell ref="A82:B82"/>
    <mergeCell ref="A85:B85"/>
    <mergeCell ref="A94:B94"/>
    <mergeCell ref="A95:B95"/>
    <mergeCell ref="A97:B97"/>
    <mergeCell ref="A99:B99"/>
    <mergeCell ref="A101:B101"/>
    <mergeCell ref="A109:B109"/>
    <mergeCell ref="A111:B111"/>
    <mergeCell ref="A112:B112"/>
    <mergeCell ref="A154:B154"/>
    <mergeCell ref="A117:B117"/>
    <mergeCell ref="A118:B118"/>
    <mergeCell ref="A120:B120"/>
    <mergeCell ref="A123:B123"/>
    <mergeCell ref="A126:B126"/>
    <mergeCell ref="A131:B131"/>
    <mergeCell ref="A133:B133"/>
    <mergeCell ref="A135:B135"/>
    <mergeCell ref="A140:B140"/>
    <mergeCell ref="A146:B146"/>
    <mergeCell ref="A148:B148"/>
    <mergeCell ref="A156:B156"/>
    <mergeCell ref="A158:B158"/>
    <mergeCell ref="A160:B160"/>
    <mergeCell ref="A162:B162"/>
    <mergeCell ref="A164:B164"/>
  </mergeCells>
  <pageMargins left="0.70866141732283472" right="0.70866141732283472" top="0.74803149606299213" bottom="0.74803149606299213" header="0" footer="0"/>
  <pageSetup paperSize="9" scale="80" fitToHeight="0" orientation="portrait" r:id="rId1"/>
  <rowBreaks count="4" manualBreakCount="4">
    <brk id="38" max="3" man="1"/>
    <brk id="83" max="3" man="1"/>
    <brk id="90" max="16383" man="1"/>
    <brk id="124" max="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830F1-1D50-4464-9E1B-6210FD1A049F}">
  <sheetPr>
    <tabColor theme="4" tint="0.79998168889431442"/>
    <outlinePr summaryBelow="0"/>
    <pageSetUpPr fitToPage="1"/>
  </sheetPr>
  <dimension ref="A1:D165"/>
  <sheetViews>
    <sheetView workbookViewId="0"/>
  </sheetViews>
  <sheetFormatPr defaultColWidth="14.42578125" defaultRowHeight="15" customHeight="1" x14ac:dyDescent="0.25"/>
  <cols>
    <col min="1" max="1" width="6.7109375" customWidth="1"/>
    <col min="2" max="2" width="64.7109375" customWidth="1"/>
    <col min="3" max="3" width="18.7109375" customWidth="1"/>
    <col min="4" max="4" width="18.7109375" style="33" customWidth="1"/>
    <col min="5" max="16384" width="14.42578125" style="159"/>
  </cols>
  <sheetData>
    <row r="1" spans="1:4" ht="40.5" customHeight="1" x14ac:dyDescent="0.25">
      <c r="A1" s="38"/>
      <c r="B1" s="313" t="s">
        <v>692</v>
      </c>
      <c r="C1" s="37"/>
      <c r="D1" s="37"/>
    </row>
    <row r="2" spans="1:4" ht="15.95" customHeight="1" thickBot="1" x14ac:dyDescent="0.3">
      <c r="A2" s="125"/>
      <c r="B2" s="42"/>
      <c r="C2" s="126"/>
      <c r="D2" s="127"/>
    </row>
    <row r="3" spans="1:4" ht="15" customHeight="1" x14ac:dyDescent="0.25">
      <c r="A3" s="192"/>
      <c r="B3" s="314" t="s">
        <v>693</v>
      </c>
      <c r="C3" s="552"/>
      <c r="D3" s="552"/>
    </row>
    <row r="4" spans="1:4" ht="15" customHeight="1" x14ac:dyDescent="0.25">
      <c r="A4" s="193"/>
      <c r="B4" s="274" t="s">
        <v>694</v>
      </c>
      <c r="C4" s="553"/>
      <c r="D4" s="553"/>
    </row>
    <row r="5" spans="1:4" ht="15.75" customHeight="1" thickBot="1" x14ac:dyDescent="0.3">
      <c r="A5" s="194"/>
      <c r="B5" s="195" t="s">
        <v>695</v>
      </c>
      <c r="C5" s="554"/>
      <c r="D5" s="554"/>
    </row>
    <row r="6" spans="1:4" ht="15.95" customHeight="1" thickBot="1" x14ac:dyDescent="0.3">
      <c r="A6" s="125"/>
      <c r="B6" s="42"/>
      <c r="C6" s="126"/>
      <c r="D6" s="127"/>
    </row>
    <row r="7" spans="1:4" ht="15" customHeight="1" x14ac:dyDescent="0.25">
      <c r="A7" s="563" t="s">
        <v>696</v>
      </c>
      <c r="B7" s="564"/>
      <c r="C7" s="128"/>
      <c r="D7" s="129"/>
    </row>
    <row r="8" spans="1:4" ht="15" customHeight="1" x14ac:dyDescent="0.25">
      <c r="A8" s="45" t="s">
        <v>697</v>
      </c>
      <c r="B8" s="263" t="s">
        <v>698</v>
      </c>
      <c r="C8" s="555"/>
      <c r="D8" s="555"/>
    </row>
    <row r="9" spans="1:4" ht="15" customHeight="1" x14ac:dyDescent="0.25">
      <c r="A9" s="45" t="s">
        <v>699</v>
      </c>
      <c r="B9" s="263" t="s">
        <v>700</v>
      </c>
      <c r="C9" s="555" t="str">
        <f>'DADOS CCT'!B4</f>
        <v>SANTA MARIA</v>
      </c>
      <c r="D9" s="555"/>
    </row>
    <row r="10" spans="1:4" ht="15" customHeight="1" x14ac:dyDescent="0.25">
      <c r="A10" s="45" t="s">
        <v>701</v>
      </c>
      <c r="B10" s="263" t="s">
        <v>702</v>
      </c>
      <c r="C10" s="555" t="str">
        <f>'DADOS CCT'!C4&amp;" - "&amp;'DADOS CCT'!D5</f>
        <v>SINTEPS/RS - RS000042/2024</v>
      </c>
      <c r="D10" s="555"/>
    </row>
    <row r="11" spans="1:4" ht="15" customHeight="1" x14ac:dyDescent="0.25">
      <c r="A11" s="45" t="s">
        <v>703</v>
      </c>
      <c r="B11" s="263" t="s">
        <v>704</v>
      </c>
      <c r="C11" s="556">
        <v>12</v>
      </c>
      <c r="D11" s="556"/>
    </row>
    <row r="12" spans="1:4" ht="15" customHeight="1" x14ac:dyDescent="0.25">
      <c r="A12" s="45" t="s">
        <v>705</v>
      </c>
      <c r="B12" s="263" t="s">
        <v>706</v>
      </c>
      <c r="C12" s="557">
        <f>'DADOS CCT'!D6</f>
        <v>45292</v>
      </c>
      <c r="D12" s="557"/>
    </row>
    <row r="13" spans="1:4" ht="29.25" customHeight="1" x14ac:dyDescent="0.25">
      <c r="A13" s="45" t="s">
        <v>707</v>
      </c>
      <c r="B13" s="315" t="s">
        <v>708</v>
      </c>
      <c r="C13" s="558" t="s">
        <v>709</v>
      </c>
      <c r="D13" s="558"/>
    </row>
    <row r="14" spans="1:4" x14ac:dyDescent="0.25">
      <c r="A14" s="130" t="s">
        <v>710</v>
      </c>
      <c r="B14" s="131" t="s">
        <v>711</v>
      </c>
      <c r="C14" s="559" t="s">
        <v>899</v>
      </c>
      <c r="D14" s="559"/>
    </row>
    <row r="15" spans="1:4" x14ac:dyDescent="0.25">
      <c r="A15" s="130" t="s">
        <v>713</v>
      </c>
      <c r="B15" s="131" t="s">
        <v>714</v>
      </c>
      <c r="C15" s="559" t="s">
        <v>900</v>
      </c>
      <c r="D15" s="559"/>
    </row>
    <row r="16" spans="1:4" x14ac:dyDescent="0.25">
      <c r="A16" s="130" t="s">
        <v>716</v>
      </c>
      <c r="B16" s="131" t="s">
        <v>717</v>
      </c>
      <c r="C16" s="559" t="str">
        <f ca="1">RIGHT(CELL("nome.arquivo",A1),LEN(CELL("nome.arquivo",A1))-SEARCH("]",CELL("nome.arquivo",A1)))</f>
        <v>5143-30 LMP.P 5x2 DIURNO SM</v>
      </c>
      <c r="D16" s="559"/>
    </row>
    <row r="17" spans="1:4" x14ac:dyDescent="0.25">
      <c r="A17" s="130" t="s">
        <v>718</v>
      </c>
      <c r="B17" s="131" t="s">
        <v>719</v>
      </c>
      <c r="C17" s="560" t="s">
        <v>1194</v>
      </c>
      <c r="D17" s="560"/>
    </row>
    <row r="18" spans="1:4" x14ac:dyDescent="0.25">
      <c r="A18" s="130" t="s">
        <v>721</v>
      </c>
      <c r="B18" s="131" t="s">
        <v>722</v>
      </c>
      <c r="C18" s="560">
        <v>21</v>
      </c>
      <c r="D18" s="560"/>
    </row>
    <row r="19" spans="1:4" ht="15.75" customHeight="1" x14ac:dyDescent="0.25">
      <c r="A19" s="130" t="s">
        <v>723</v>
      </c>
      <c r="B19" s="131" t="s">
        <v>724</v>
      </c>
      <c r="C19" s="560">
        <f>'DADOS CCT'!D7</f>
        <v>1540.51</v>
      </c>
      <c r="D19" s="560"/>
    </row>
    <row r="20" spans="1:4" ht="15.75" customHeight="1" x14ac:dyDescent="0.25">
      <c r="A20" s="130" t="s">
        <v>725</v>
      </c>
      <c r="B20" s="132" t="s">
        <v>726</v>
      </c>
      <c r="C20" s="573">
        <f>C19/220</f>
        <v>7.0023181818181817</v>
      </c>
      <c r="D20" s="573"/>
    </row>
    <row r="21" spans="1:4" ht="15.75" customHeight="1" x14ac:dyDescent="0.25">
      <c r="A21" s="130" t="s">
        <v>727</v>
      </c>
      <c r="B21" s="132" t="s">
        <v>728</v>
      </c>
      <c r="C21" s="573">
        <f>C20*1.5</f>
        <v>10.503477272727272</v>
      </c>
      <c r="D21" s="573"/>
    </row>
    <row r="22" spans="1:4" ht="15.75" customHeight="1" x14ac:dyDescent="0.25">
      <c r="A22" s="130" t="s">
        <v>729</v>
      </c>
      <c r="B22" s="132" t="s">
        <v>730</v>
      </c>
      <c r="C22" s="573">
        <f>C20*2</f>
        <v>14.004636363636363</v>
      </c>
      <c r="D22" s="573"/>
    </row>
    <row r="23" spans="1:4" ht="15.75" customHeight="1" thickBot="1" x14ac:dyDescent="0.3">
      <c r="A23" s="133" t="s">
        <v>731</v>
      </c>
      <c r="B23" s="134" t="s">
        <v>732</v>
      </c>
      <c r="C23" s="574">
        <f>C20*0.2</f>
        <v>1.4004636363636365</v>
      </c>
      <c r="D23" s="574"/>
    </row>
    <row r="24" spans="1:4" ht="15.95" customHeight="1" thickBot="1" x14ac:dyDescent="0.3">
      <c r="A24" s="125"/>
      <c r="B24" s="42"/>
      <c r="C24" s="126"/>
      <c r="D24" s="127"/>
    </row>
    <row r="25" spans="1:4" ht="15.75" thickBot="1" x14ac:dyDescent="0.3">
      <c r="A25" s="565"/>
      <c r="B25" s="566"/>
      <c r="C25" s="567" t="str">
        <f>'DADOS CCT'!D3</f>
        <v>00 - VALOR ESTIMADO</v>
      </c>
      <c r="D25" s="568"/>
    </row>
    <row r="26" spans="1:4" ht="6" customHeight="1" thickBot="1" x14ac:dyDescent="0.3">
      <c r="A26" s="4"/>
      <c r="B26" s="1"/>
      <c r="C26" s="5"/>
      <c r="D26" s="6"/>
    </row>
    <row r="27" spans="1:4" ht="18" customHeight="1" x14ac:dyDescent="0.25">
      <c r="A27" s="569" t="s">
        <v>733</v>
      </c>
      <c r="B27" s="570"/>
      <c r="C27" s="190"/>
      <c r="D27" s="191" t="s">
        <v>734</v>
      </c>
    </row>
    <row r="28" spans="1:4" ht="15.75" customHeight="1" x14ac:dyDescent="0.25">
      <c r="A28" s="45" t="s">
        <v>735</v>
      </c>
      <c r="B28" s="46" t="s">
        <v>736</v>
      </c>
      <c r="C28" s="135">
        <v>200</v>
      </c>
      <c r="D28" s="28">
        <f>C28*C19/220</f>
        <v>1400.4636363636364</v>
      </c>
    </row>
    <row r="29" spans="1:4" ht="15.75" customHeight="1" x14ac:dyDescent="0.25">
      <c r="A29" s="45" t="s">
        <v>737</v>
      </c>
      <c r="B29" s="46" t="s">
        <v>738</v>
      </c>
      <c r="C29" s="136"/>
      <c r="D29" s="28">
        <f>D$28*C29</f>
        <v>0</v>
      </c>
    </row>
    <row r="30" spans="1:4" ht="15.75" customHeight="1" x14ac:dyDescent="0.25">
      <c r="A30" s="45" t="s">
        <v>739</v>
      </c>
      <c r="B30" s="46" t="s">
        <v>740</v>
      </c>
      <c r="C30" s="136">
        <v>0.2</v>
      </c>
      <c r="D30" s="208">
        <f>C30*C19</f>
        <v>308.10200000000003</v>
      </c>
    </row>
    <row r="31" spans="1:4" ht="15.75" customHeight="1" x14ac:dyDescent="0.25">
      <c r="A31" s="45" t="s">
        <v>741</v>
      </c>
      <c r="B31" s="46" t="s">
        <v>742</v>
      </c>
      <c r="C31" s="28"/>
      <c r="D31" s="28">
        <f>(D28/C28)*0.2*C31*(60/52.5)</f>
        <v>0</v>
      </c>
    </row>
    <row r="32" spans="1:4" ht="15.75" customHeight="1" x14ac:dyDescent="0.25">
      <c r="A32" s="45" t="s">
        <v>743</v>
      </c>
      <c r="B32" s="46" t="s">
        <v>744</v>
      </c>
      <c r="C32" s="28"/>
      <c r="D32" s="28">
        <f>(D28/C28)*1.5*C32</f>
        <v>0</v>
      </c>
    </row>
    <row r="33" spans="1:4" ht="15.75" customHeight="1" x14ac:dyDescent="0.25">
      <c r="A33" s="571" t="s">
        <v>745</v>
      </c>
      <c r="B33" s="572"/>
      <c r="C33" s="184"/>
      <c r="D33" s="185">
        <f>SUM(D28:D32)</f>
        <v>1708.5656363636365</v>
      </c>
    </row>
    <row r="34" spans="1:4" ht="15.75" customHeight="1" x14ac:dyDescent="0.25">
      <c r="A34" s="45" t="s">
        <v>746</v>
      </c>
      <c r="B34" s="46" t="s">
        <v>747</v>
      </c>
      <c r="C34" s="28"/>
      <c r="D34" s="28">
        <f>15*C34*(D28/C28)*1.5</f>
        <v>0</v>
      </c>
    </row>
    <row r="35" spans="1:4" ht="15.75" customHeight="1" x14ac:dyDescent="0.25">
      <c r="A35" s="45" t="s">
        <v>748</v>
      </c>
      <c r="B35" s="46" t="s">
        <v>749</v>
      </c>
      <c r="C35" s="139">
        <f>'DADOS CCT'!D12</f>
        <v>0</v>
      </c>
      <c r="D35" s="28">
        <f>D28*C35</f>
        <v>0</v>
      </c>
    </row>
    <row r="36" spans="1:4" ht="15.75" customHeight="1" x14ac:dyDescent="0.25">
      <c r="A36" s="45" t="s">
        <v>750</v>
      </c>
      <c r="B36" s="46" t="s">
        <v>751</v>
      </c>
      <c r="C36" s="136"/>
      <c r="D36" s="28">
        <f>D$28*C36</f>
        <v>0</v>
      </c>
    </row>
    <row r="37" spans="1:4" ht="15.75" customHeight="1" thickBot="1" x14ac:dyDescent="0.3">
      <c r="A37" s="575" t="s">
        <v>752</v>
      </c>
      <c r="B37" s="576"/>
      <c r="C37" s="188"/>
      <c r="D37" s="189">
        <f>SUM(D33:D36)</f>
        <v>1708.5656363636365</v>
      </c>
    </row>
    <row r="38" spans="1:4" ht="24" customHeight="1" x14ac:dyDescent="0.25">
      <c r="A38" s="577" t="s">
        <v>1233</v>
      </c>
      <c r="B38" s="578"/>
      <c r="C38" s="8"/>
      <c r="D38" s="127"/>
    </row>
    <row r="39" spans="1:4" ht="8.1" customHeight="1" thickBot="1" x14ac:dyDescent="0.3">
      <c r="A39" s="7"/>
      <c r="B39" s="16"/>
      <c r="C39" s="8"/>
      <c r="D39" s="127"/>
    </row>
    <row r="40" spans="1:4" ht="18" customHeight="1" x14ac:dyDescent="0.25">
      <c r="A40" s="579" t="s">
        <v>753</v>
      </c>
      <c r="B40" s="580"/>
      <c r="C40" s="142"/>
      <c r="D40" s="187"/>
    </row>
    <row r="41" spans="1:4" ht="6" customHeight="1" x14ac:dyDescent="0.25">
      <c r="A41" s="125"/>
      <c r="B41" s="42"/>
      <c r="C41" s="126"/>
      <c r="D41" s="127"/>
    </row>
    <row r="42" spans="1:4" ht="15.75" customHeight="1" x14ac:dyDescent="0.25">
      <c r="A42" s="581" t="s">
        <v>754</v>
      </c>
      <c r="B42" s="572"/>
      <c r="C42" s="182"/>
      <c r="D42" s="183" t="s">
        <v>734</v>
      </c>
    </row>
    <row r="43" spans="1:4" ht="15" customHeight="1" x14ac:dyDescent="0.25">
      <c r="A43" s="45" t="s">
        <v>755</v>
      </c>
      <c r="B43" s="46" t="s">
        <v>756</v>
      </c>
      <c r="C43" s="136">
        <v>8.3299999999999999E-2</v>
      </c>
      <c r="D43" s="28">
        <f>D$33*C43</f>
        <v>142.32351750909092</v>
      </c>
    </row>
    <row r="44" spans="1:4" ht="15" customHeight="1" x14ac:dyDescent="0.25">
      <c r="A44" s="45" t="s">
        <v>757</v>
      </c>
      <c r="B44" s="46" t="s">
        <v>758</v>
      </c>
      <c r="C44" s="143">
        <v>3.0249999999999999E-2</v>
      </c>
      <c r="D44" s="28">
        <f>D$33*C44</f>
        <v>51.684110500000003</v>
      </c>
    </row>
    <row r="45" spans="1:4" ht="15.75" customHeight="1" x14ac:dyDescent="0.25">
      <c r="A45" s="582" t="s">
        <v>752</v>
      </c>
      <c r="B45" s="572"/>
      <c r="C45" s="186"/>
      <c r="D45" s="185">
        <f>SUM(D43:D44)</f>
        <v>194.00762800909092</v>
      </c>
    </row>
    <row r="46" spans="1:4" ht="37.5" customHeight="1" x14ac:dyDescent="0.25">
      <c r="A46" s="583" t="s">
        <v>759</v>
      </c>
      <c r="B46" s="584"/>
      <c r="C46" s="141"/>
      <c r="D46" s="41"/>
    </row>
    <row r="47" spans="1:4" ht="8.1" customHeight="1" x14ac:dyDescent="0.25">
      <c r="A47" s="125"/>
      <c r="B47" s="33"/>
      <c r="C47" s="126"/>
      <c r="D47" s="127"/>
    </row>
    <row r="48" spans="1:4" ht="15.75" customHeight="1" x14ac:dyDescent="0.25">
      <c r="A48" s="581" t="s">
        <v>760</v>
      </c>
      <c r="B48" s="572"/>
      <c r="C48" s="182"/>
      <c r="D48" s="183" t="s">
        <v>734</v>
      </c>
    </row>
    <row r="49" spans="1:4" ht="15" customHeight="1" x14ac:dyDescent="0.25">
      <c r="A49" s="45" t="s">
        <v>761</v>
      </c>
      <c r="B49" s="46" t="s">
        <v>762</v>
      </c>
      <c r="C49" s="136">
        <v>0.2</v>
      </c>
      <c r="D49" s="28">
        <f t="shared" ref="D49:D57" si="0">(D$33+D$45)*C49</f>
        <v>380.5146528745455</v>
      </c>
    </row>
    <row r="50" spans="1:4" ht="15" customHeight="1" x14ac:dyDescent="0.25">
      <c r="A50" s="45" t="s">
        <v>763</v>
      </c>
      <c r="B50" s="46" t="s">
        <v>764</v>
      </c>
      <c r="C50" s="136">
        <v>2.5000000000000001E-2</v>
      </c>
      <c r="D50" s="28">
        <f t="shared" si="0"/>
        <v>47.564331609318188</v>
      </c>
    </row>
    <row r="51" spans="1:4" ht="15" customHeight="1" x14ac:dyDescent="0.25">
      <c r="A51" s="45" t="s">
        <v>765</v>
      </c>
      <c r="B51" s="46" t="s">
        <v>766</v>
      </c>
      <c r="C51" s="144">
        <f>'DADOS CCT'!D$22*'DADOS CCT'!D$23</f>
        <v>0.06</v>
      </c>
      <c r="D51" s="28">
        <f t="shared" si="0"/>
        <v>114.15439586236364</v>
      </c>
    </row>
    <row r="52" spans="1:4" ht="15" customHeight="1" x14ac:dyDescent="0.25">
      <c r="A52" s="45" t="s">
        <v>767</v>
      </c>
      <c r="B52" s="46" t="s">
        <v>768</v>
      </c>
      <c r="C52" s="136">
        <v>1.4999999999999999E-2</v>
      </c>
      <c r="D52" s="28">
        <f t="shared" si="0"/>
        <v>28.538598965590911</v>
      </c>
    </row>
    <row r="53" spans="1:4" ht="15" customHeight="1" x14ac:dyDescent="0.25">
      <c r="A53" s="45" t="s">
        <v>769</v>
      </c>
      <c r="B53" s="46" t="s">
        <v>770</v>
      </c>
      <c r="C53" s="136">
        <v>0.01</v>
      </c>
      <c r="D53" s="28">
        <f t="shared" si="0"/>
        <v>19.025732643727274</v>
      </c>
    </row>
    <row r="54" spans="1:4" ht="15" customHeight="1" x14ac:dyDescent="0.25">
      <c r="A54" s="45" t="s">
        <v>771</v>
      </c>
      <c r="B54" s="46" t="s">
        <v>772</v>
      </c>
      <c r="C54" s="136">
        <v>6.0000000000000001E-3</v>
      </c>
      <c r="D54" s="28">
        <f t="shared" si="0"/>
        <v>11.415439586236365</v>
      </c>
    </row>
    <row r="55" spans="1:4" ht="15" customHeight="1" x14ac:dyDescent="0.25">
      <c r="A55" s="45" t="s">
        <v>773</v>
      </c>
      <c r="B55" s="46" t="s">
        <v>774</v>
      </c>
      <c r="C55" s="136">
        <v>2E-3</v>
      </c>
      <c r="D55" s="28">
        <f t="shared" si="0"/>
        <v>3.8051465287454551</v>
      </c>
    </row>
    <row r="56" spans="1:4" ht="15" customHeight="1" x14ac:dyDescent="0.25">
      <c r="A56" s="45" t="s">
        <v>775</v>
      </c>
      <c r="B56" s="46" t="s">
        <v>776</v>
      </c>
      <c r="C56" s="136">
        <v>0.08</v>
      </c>
      <c r="D56" s="28">
        <f t="shared" si="0"/>
        <v>152.20586114981819</v>
      </c>
    </row>
    <row r="57" spans="1:4" ht="15" customHeight="1" x14ac:dyDescent="0.25">
      <c r="A57" s="45" t="s">
        <v>777</v>
      </c>
      <c r="B57" s="46" t="s">
        <v>778</v>
      </c>
      <c r="C57" s="136"/>
      <c r="D57" s="28">
        <f t="shared" si="0"/>
        <v>0</v>
      </c>
    </row>
    <row r="58" spans="1:4" ht="15.75" customHeight="1" x14ac:dyDescent="0.25">
      <c r="A58" s="585" t="s">
        <v>752</v>
      </c>
      <c r="B58" s="412"/>
      <c r="C58" s="137">
        <f>SUM(C49:C50,C51:C57)</f>
        <v>0.39800000000000008</v>
      </c>
      <c r="D58" s="138">
        <f>SUM(D49:D57)</f>
        <v>757.22415922034565</v>
      </c>
    </row>
    <row r="59" spans="1:4" ht="20.25" customHeight="1" x14ac:dyDescent="0.25">
      <c r="A59" s="583" t="s">
        <v>779</v>
      </c>
      <c r="B59" s="586"/>
      <c r="C59" s="141"/>
      <c r="D59" s="41"/>
    </row>
    <row r="60" spans="1:4" ht="8.1" customHeight="1" x14ac:dyDescent="0.25">
      <c r="A60" s="125"/>
      <c r="B60" s="33"/>
      <c r="C60" s="140"/>
      <c r="D60" s="127"/>
    </row>
    <row r="61" spans="1:4" ht="15.75" customHeight="1" x14ac:dyDescent="0.25">
      <c r="A61" s="581" t="s">
        <v>780</v>
      </c>
      <c r="B61" s="572"/>
      <c r="C61" s="182"/>
      <c r="D61" s="183" t="s">
        <v>734</v>
      </c>
    </row>
    <row r="62" spans="1:4" ht="15.75" customHeight="1" x14ac:dyDescent="0.25">
      <c r="A62" s="45" t="s">
        <v>781</v>
      </c>
      <c r="B62" s="46" t="s">
        <v>782</v>
      </c>
      <c r="C62" s="145"/>
      <c r="D62" s="138">
        <f>((C63*C64*C65)-D66)*C67</f>
        <v>125.97218181818182</v>
      </c>
    </row>
    <row r="63" spans="1:4" ht="15.75" customHeight="1" x14ac:dyDescent="0.25">
      <c r="A63" s="45" t="s">
        <v>783</v>
      </c>
      <c r="B63" s="46" t="s">
        <v>784</v>
      </c>
      <c r="C63" s="146">
        <f>'DADOS CCT'!D13</f>
        <v>5</v>
      </c>
      <c r="D63" s="28">
        <v>0</v>
      </c>
    </row>
    <row r="64" spans="1:4" ht="15.75" customHeight="1" x14ac:dyDescent="0.25">
      <c r="A64" s="45" t="s">
        <v>785</v>
      </c>
      <c r="B64" s="46" t="s">
        <v>786</v>
      </c>
      <c r="C64" s="28">
        <v>2</v>
      </c>
      <c r="D64" s="28">
        <v>0</v>
      </c>
    </row>
    <row r="65" spans="1:4" ht="15.75" customHeight="1" x14ac:dyDescent="0.25">
      <c r="A65" s="45" t="s">
        <v>787</v>
      </c>
      <c r="B65" s="46" t="s">
        <v>788</v>
      </c>
      <c r="C65" s="147">
        <f>C$18</f>
        <v>21</v>
      </c>
      <c r="D65" s="28">
        <v>0</v>
      </c>
    </row>
    <row r="66" spans="1:4" ht="15.75" customHeight="1" x14ac:dyDescent="0.25">
      <c r="A66" s="45" t="s">
        <v>789</v>
      </c>
      <c r="B66" s="46" t="s">
        <v>790</v>
      </c>
      <c r="C66" s="136">
        <v>0.06</v>
      </c>
      <c r="D66" s="28">
        <f>C66*D$28</f>
        <v>84.027818181818176</v>
      </c>
    </row>
    <row r="67" spans="1:4" ht="15.75" customHeight="1" x14ac:dyDescent="0.25">
      <c r="A67" s="45" t="s">
        <v>791</v>
      </c>
      <c r="B67" s="46" t="s">
        <v>792</v>
      </c>
      <c r="C67" s="144">
        <f>'DADOS CCT'!D14</f>
        <v>1</v>
      </c>
      <c r="D67" s="28">
        <v>0</v>
      </c>
    </row>
    <row r="68" spans="1:4" ht="15.75" customHeight="1" x14ac:dyDescent="0.25">
      <c r="A68" s="45" t="s">
        <v>793</v>
      </c>
      <c r="B68" s="46" t="s">
        <v>794</v>
      </c>
      <c r="C68" s="136"/>
      <c r="D68" s="138">
        <f>(C69*C70)-D71</f>
        <v>402.79679999999996</v>
      </c>
    </row>
    <row r="69" spans="1:4" ht="15.75" customHeight="1" x14ac:dyDescent="0.25">
      <c r="A69" s="45" t="s">
        <v>795</v>
      </c>
      <c r="B69" s="46" t="s">
        <v>796</v>
      </c>
      <c r="C69" s="146">
        <f>'DADOS CCT'!D15</f>
        <v>23.68</v>
      </c>
      <c r="D69" s="28">
        <v>0</v>
      </c>
    </row>
    <row r="70" spans="1:4" ht="15.75" customHeight="1" x14ac:dyDescent="0.25">
      <c r="A70" s="45" t="s">
        <v>797</v>
      </c>
      <c r="B70" s="46" t="s">
        <v>798</v>
      </c>
      <c r="C70" s="147">
        <f>C$18</f>
        <v>21</v>
      </c>
      <c r="D70" s="28">
        <v>0</v>
      </c>
    </row>
    <row r="71" spans="1:4" ht="15.75" customHeight="1" x14ac:dyDescent="0.25">
      <c r="A71" s="45" t="s">
        <v>799</v>
      </c>
      <c r="B71" s="46" t="s">
        <v>800</v>
      </c>
      <c r="C71" s="144">
        <f>'DADOS CCT'!D17</f>
        <v>0.19</v>
      </c>
      <c r="D71" s="28">
        <f>(C69*C70)*C71</f>
        <v>94.483199999999997</v>
      </c>
    </row>
    <row r="72" spans="1:4" ht="15.75" customHeight="1" x14ac:dyDescent="0.25">
      <c r="A72" s="45" t="s">
        <v>801</v>
      </c>
      <c r="B72" s="46" t="s">
        <v>802</v>
      </c>
      <c r="C72" s="136"/>
      <c r="D72" s="208">
        <f>'DADOS CCT'!D$18</f>
        <v>19.420000000000002</v>
      </c>
    </row>
    <row r="73" spans="1:4" ht="15.75" customHeight="1" x14ac:dyDescent="0.25">
      <c r="A73" s="45" t="s">
        <v>803</v>
      </c>
      <c r="B73" s="46" t="s">
        <v>804</v>
      </c>
      <c r="C73" s="136"/>
      <c r="D73" s="28">
        <v>0</v>
      </c>
    </row>
    <row r="74" spans="1:4" ht="15.75" customHeight="1" x14ac:dyDescent="0.25">
      <c r="A74" s="45" t="s">
        <v>805</v>
      </c>
      <c r="B74" s="46" t="s">
        <v>778</v>
      </c>
      <c r="C74" s="136"/>
      <c r="D74" s="28">
        <v>0</v>
      </c>
    </row>
    <row r="75" spans="1:4" ht="15.75" customHeight="1" x14ac:dyDescent="0.25">
      <c r="A75" s="582" t="s">
        <v>752</v>
      </c>
      <c r="B75" s="572"/>
      <c r="C75" s="184"/>
      <c r="D75" s="185">
        <f>SUM(D62,D68,D72:D74)</f>
        <v>548.18898181818179</v>
      </c>
    </row>
    <row r="76" spans="1:4" ht="38.25" customHeight="1" x14ac:dyDescent="0.25">
      <c r="A76" s="583" t="s">
        <v>1102</v>
      </c>
      <c r="B76" s="586"/>
      <c r="C76" s="40"/>
      <c r="D76" s="41"/>
    </row>
    <row r="77" spans="1:4" ht="8.1" customHeight="1" x14ac:dyDescent="0.25">
      <c r="A77" s="125"/>
      <c r="B77" s="33"/>
      <c r="C77" s="140"/>
      <c r="D77" s="127"/>
    </row>
    <row r="78" spans="1:4" ht="15.75" customHeight="1" x14ac:dyDescent="0.25">
      <c r="A78" s="581" t="s">
        <v>806</v>
      </c>
      <c r="B78" s="572"/>
      <c r="C78" s="182"/>
      <c r="D78" s="183" t="s">
        <v>734</v>
      </c>
    </row>
    <row r="79" spans="1:4" ht="15.75" customHeight="1" x14ac:dyDescent="0.25">
      <c r="A79" s="45" t="s">
        <v>807</v>
      </c>
      <c r="B79" s="46" t="s">
        <v>808</v>
      </c>
      <c r="C79" s="136"/>
      <c r="D79" s="28">
        <f>D45</f>
        <v>194.00762800909092</v>
      </c>
    </row>
    <row r="80" spans="1:4" ht="15.75" customHeight="1" x14ac:dyDescent="0.25">
      <c r="A80" s="45" t="s">
        <v>809</v>
      </c>
      <c r="B80" s="46" t="s">
        <v>810</v>
      </c>
      <c r="C80" s="28"/>
      <c r="D80" s="28">
        <f>D58</f>
        <v>757.22415922034565</v>
      </c>
    </row>
    <row r="81" spans="1:4" ht="15.75" customHeight="1" x14ac:dyDescent="0.25">
      <c r="A81" s="45" t="s">
        <v>811</v>
      </c>
      <c r="B81" s="46" t="s">
        <v>812</v>
      </c>
      <c r="C81" s="28"/>
      <c r="D81" s="28">
        <f>D75</f>
        <v>548.18898181818179</v>
      </c>
    </row>
    <row r="82" spans="1:4" ht="15.75" customHeight="1" thickBot="1" x14ac:dyDescent="0.3">
      <c r="A82" s="589" t="s">
        <v>752</v>
      </c>
      <c r="B82" s="590"/>
      <c r="C82" s="180"/>
      <c r="D82" s="181">
        <f>SUM(D79:D81)</f>
        <v>1499.4207690476183</v>
      </c>
    </row>
    <row r="83" spans="1:4" ht="8.1" customHeight="1" x14ac:dyDescent="0.25">
      <c r="A83" s="148"/>
      <c r="B83" s="149"/>
      <c r="C83" s="40"/>
      <c r="D83" s="41"/>
    </row>
    <row r="84" spans="1:4" ht="8.1" customHeight="1" thickBot="1" x14ac:dyDescent="0.3">
      <c r="A84" s="4"/>
      <c r="B84" s="1"/>
      <c r="C84" s="22"/>
      <c r="D84" s="6"/>
    </row>
    <row r="85" spans="1:4" ht="18" customHeight="1" x14ac:dyDescent="0.25">
      <c r="A85" s="591" t="s">
        <v>813</v>
      </c>
      <c r="B85" s="592"/>
      <c r="C85" s="12"/>
      <c r="D85" s="150" t="s">
        <v>734</v>
      </c>
    </row>
    <row r="86" spans="1:4" ht="15.75" customHeight="1" x14ac:dyDescent="0.25">
      <c r="A86" s="209" t="s">
        <v>814</v>
      </c>
      <c r="B86" s="210" t="s">
        <v>815</v>
      </c>
      <c r="C86" s="211">
        <v>0.05</v>
      </c>
      <c r="D86" s="212">
        <f>(D$33/$C$11)*C86*C89</f>
        <v>7.1190234848484852</v>
      </c>
    </row>
    <row r="87" spans="1:4" ht="15.75" customHeight="1" x14ac:dyDescent="0.25">
      <c r="A87" s="209" t="s">
        <v>816</v>
      </c>
      <c r="B87" s="210" t="s">
        <v>817</v>
      </c>
      <c r="C87" s="211">
        <f>C56</f>
        <v>0.08</v>
      </c>
      <c r="D87" s="212">
        <f>D86*C87</f>
        <v>0.56952187878787885</v>
      </c>
    </row>
    <row r="88" spans="1:4" ht="15.75" customHeight="1" x14ac:dyDescent="0.25">
      <c r="A88" s="209" t="s">
        <v>818</v>
      </c>
      <c r="B88" s="210" t="s">
        <v>819</v>
      </c>
      <c r="C88" s="211">
        <v>0.04</v>
      </c>
      <c r="D88" s="212">
        <f>D$33*C88</f>
        <v>68.342625454545455</v>
      </c>
    </row>
    <row r="89" spans="1:4" ht="15.75" customHeight="1" x14ac:dyDescent="0.25">
      <c r="A89" s="213" t="s">
        <v>820</v>
      </c>
      <c r="B89" s="214" t="s">
        <v>821</v>
      </c>
      <c r="C89" s="215">
        <v>1</v>
      </c>
      <c r="D89" s="216">
        <v>0</v>
      </c>
    </row>
    <row r="90" spans="1:4" ht="15.75" customHeight="1" x14ac:dyDescent="0.25">
      <c r="A90" s="18" t="s">
        <v>822</v>
      </c>
      <c r="B90" s="13" t="s">
        <v>823</v>
      </c>
      <c r="C90" s="15">
        <v>0.9</v>
      </c>
      <c r="D90" s="14">
        <f>(((D$33/30)*7)/12)*C90*C93</f>
        <v>29.899898636363641</v>
      </c>
    </row>
    <row r="91" spans="1:4" ht="15.75" customHeight="1" x14ac:dyDescent="0.25">
      <c r="A91" s="18" t="s">
        <v>820</v>
      </c>
      <c r="B91" s="13" t="s">
        <v>824</v>
      </c>
      <c r="C91" s="15">
        <f>C58</f>
        <v>0.39800000000000008</v>
      </c>
      <c r="D91" s="14">
        <f>D90*C91</f>
        <v>11.900159657272731</v>
      </c>
    </row>
    <row r="92" spans="1:4" ht="15.75" customHeight="1" x14ac:dyDescent="0.25">
      <c r="A92" s="18" t="s">
        <v>822</v>
      </c>
      <c r="B92" s="13" t="s">
        <v>825</v>
      </c>
      <c r="C92" s="17">
        <v>3.8080000000000003E-2</v>
      </c>
      <c r="D92" s="14">
        <f>D$33*C92</f>
        <v>65.062179432727277</v>
      </c>
    </row>
    <row r="93" spans="1:4" ht="15.75" customHeight="1" x14ac:dyDescent="0.25">
      <c r="A93" s="66" t="s">
        <v>826</v>
      </c>
      <c r="B93" s="34" t="s">
        <v>827</v>
      </c>
      <c r="C93" s="67">
        <v>1</v>
      </c>
      <c r="D93" s="35">
        <v>0</v>
      </c>
    </row>
    <row r="94" spans="1:4" ht="15.75" customHeight="1" thickBot="1" x14ac:dyDescent="0.3">
      <c r="A94" s="593" t="s">
        <v>752</v>
      </c>
      <c r="B94" s="594"/>
      <c r="C94" s="172"/>
      <c r="D94" s="173">
        <f>SUM(D86:D88,D90:D92)</f>
        <v>182.89340854454548</v>
      </c>
    </row>
    <row r="95" spans="1:4" ht="58.5" customHeight="1" x14ac:dyDescent="0.25">
      <c r="A95" s="577" t="s">
        <v>828</v>
      </c>
      <c r="B95" s="578"/>
      <c r="C95" s="3"/>
      <c r="D95" s="41"/>
    </row>
    <row r="96" spans="1:4" ht="15.95" customHeight="1" thickBot="1" x14ac:dyDescent="0.3">
      <c r="A96" s="4"/>
      <c r="B96" s="1"/>
      <c r="C96" s="22"/>
      <c r="D96" s="6"/>
    </row>
    <row r="97" spans="1:4" ht="18" customHeight="1" x14ac:dyDescent="0.25">
      <c r="A97" s="591" t="s">
        <v>829</v>
      </c>
      <c r="B97" s="592"/>
      <c r="C97" s="12"/>
      <c r="D97" s="150" t="s">
        <v>734</v>
      </c>
    </row>
    <row r="98" spans="1:4" ht="8.1" customHeight="1" x14ac:dyDescent="0.25">
      <c r="A98" s="7"/>
      <c r="C98" s="8"/>
      <c r="D98" s="127"/>
    </row>
    <row r="99" spans="1:4" ht="15.75" customHeight="1" x14ac:dyDescent="0.25">
      <c r="A99" s="587" t="s">
        <v>830</v>
      </c>
      <c r="B99" s="588"/>
      <c r="C99" s="151"/>
      <c r="D99" s="152">
        <f>SUM(D33,D45,D102)</f>
        <v>2057.6255958727274</v>
      </c>
    </row>
    <row r="100" spans="1:4" ht="8.1" customHeight="1" x14ac:dyDescent="0.25">
      <c r="A100" s="7"/>
      <c r="C100" s="8"/>
      <c r="D100" s="127"/>
    </row>
    <row r="101" spans="1:4" ht="15.75" customHeight="1" x14ac:dyDescent="0.25">
      <c r="A101" s="587" t="s">
        <v>831</v>
      </c>
      <c r="B101" s="588"/>
      <c r="C101" s="151"/>
      <c r="D101" s="152" t="s">
        <v>734</v>
      </c>
    </row>
    <row r="102" spans="1:4" ht="15.75" customHeight="1" x14ac:dyDescent="0.25">
      <c r="A102" s="18" t="s">
        <v>832</v>
      </c>
      <c r="B102" s="13" t="s">
        <v>833</v>
      </c>
      <c r="C102" s="17">
        <v>9.0749999999999997E-2</v>
      </c>
      <c r="D102" s="14">
        <f>D$33*C102</f>
        <v>155.05233150000001</v>
      </c>
    </row>
    <row r="103" spans="1:4" ht="15.75" customHeight="1" x14ac:dyDescent="0.25">
      <c r="A103" s="18" t="s">
        <v>834</v>
      </c>
      <c r="B103" s="13" t="s">
        <v>835</v>
      </c>
      <c r="C103" s="14">
        <v>1</v>
      </c>
      <c r="D103" s="14">
        <f>((D99/30)*C103)/12</f>
        <v>5.7156266552020201</v>
      </c>
    </row>
    <row r="104" spans="1:4" ht="15.75" customHeight="1" x14ac:dyDescent="0.25">
      <c r="A104" s="18" t="s">
        <v>836</v>
      </c>
      <c r="B104" s="13" t="s">
        <v>837</v>
      </c>
      <c r="C104" s="15">
        <v>1.4999999999999999E-2</v>
      </c>
      <c r="D104" s="14">
        <f>((D99/30)*5/12)*C104</f>
        <v>0.42867199914015153</v>
      </c>
    </row>
    <row r="105" spans="1:4" ht="15.75" customHeight="1" x14ac:dyDescent="0.25">
      <c r="A105" s="18" t="s">
        <v>838</v>
      </c>
      <c r="B105" s="13" t="s">
        <v>839</v>
      </c>
      <c r="C105" s="15">
        <v>7.7999999999999996E-3</v>
      </c>
      <c r="D105" s="14">
        <f>((D99/30)*15/12)*C105</f>
        <v>0.66872831865863636</v>
      </c>
    </row>
    <row r="106" spans="1:4" ht="15.75" customHeight="1" x14ac:dyDescent="0.25">
      <c r="A106" s="18" t="s">
        <v>840</v>
      </c>
      <c r="B106" s="13" t="s">
        <v>841</v>
      </c>
      <c r="C106" s="15">
        <v>0.02</v>
      </c>
      <c r="D106" s="14">
        <f>(((D33+(D33/3))/12)*(4/12))*C106</f>
        <v>1.2656041750841751</v>
      </c>
    </row>
    <row r="107" spans="1:4" ht="15.75" customHeight="1" x14ac:dyDescent="0.25">
      <c r="A107" s="18" t="s">
        <v>842</v>
      </c>
      <c r="B107" s="13" t="s">
        <v>843</v>
      </c>
      <c r="C107" s="14">
        <v>3</v>
      </c>
      <c r="D107" s="14">
        <f>((D99/30)*C107)/12</f>
        <v>17.146879965606061</v>
      </c>
    </row>
    <row r="108" spans="1:4" ht="15.75" customHeight="1" x14ac:dyDescent="0.25">
      <c r="A108" s="18" t="s">
        <v>844</v>
      </c>
      <c r="B108" s="13" t="s">
        <v>845</v>
      </c>
      <c r="C108" s="14"/>
      <c r="D108" s="14">
        <f>((D99/30)*C108)/12</f>
        <v>0</v>
      </c>
    </row>
    <row r="109" spans="1:4" ht="15.75" customHeight="1" x14ac:dyDescent="0.25">
      <c r="A109" s="595" t="s">
        <v>752</v>
      </c>
      <c r="B109" s="588"/>
      <c r="C109" s="175"/>
      <c r="D109" s="44">
        <f>SUM(D102:D107)</f>
        <v>180.27784261369106</v>
      </c>
    </row>
    <row r="110" spans="1:4" ht="15.75" customHeight="1" x14ac:dyDescent="0.25">
      <c r="A110" s="18" t="s">
        <v>846</v>
      </c>
      <c r="B110" s="13" t="s">
        <v>847</v>
      </c>
      <c r="C110" s="15">
        <f>C58</f>
        <v>0.39800000000000008</v>
      </c>
      <c r="D110" s="14">
        <f>D109*C110</f>
        <v>71.750581360249058</v>
      </c>
    </row>
    <row r="111" spans="1:4" ht="15.75" customHeight="1" x14ac:dyDescent="0.25">
      <c r="A111" s="596" t="s">
        <v>752</v>
      </c>
      <c r="B111" s="588"/>
      <c r="C111" s="179"/>
      <c r="D111" s="178">
        <f>SUM(D109:D110)</f>
        <v>252.02842397394011</v>
      </c>
    </row>
    <row r="112" spans="1:4" ht="61.5" customHeight="1" x14ac:dyDescent="0.25">
      <c r="A112" s="577" t="s">
        <v>848</v>
      </c>
      <c r="B112" s="578"/>
      <c r="C112" s="3"/>
      <c r="D112" s="41"/>
    </row>
    <row r="113" spans="1:4" ht="8.1" customHeight="1" x14ac:dyDescent="0.25">
      <c r="A113" s="125"/>
      <c r="B113" s="42"/>
      <c r="C113" s="140"/>
      <c r="D113" s="127"/>
    </row>
    <row r="114" spans="1:4" ht="15.75" customHeight="1" x14ac:dyDescent="0.25">
      <c r="A114" s="587" t="s">
        <v>849</v>
      </c>
      <c r="B114" s="588"/>
      <c r="C114" s="151"/>
      <c r="D114" s="152" t="s">
        <v>734</v>
      </c>
    </row>
    <row r="115" spans="1:4" ht="15.75" customHeight="1" x14ac:dyDescent="0.25">
      <c r="A115" s="18" t="s">
        <v>850</v>
      </c>
      <c r="B115" s="13" t="s">
        <v>851</v>
      </c>
      <c r="C115" s="14">
        <v>0</v>
      </c>
      <c r="D115" s="14">
        <f>((D$37+D$82)/C$28)*C115*C$18</f>
        <v>0</v>
      </c>
    </row>
    <row r="116" spans="1:4" ht="15.75" customHeight="1" x14ac:dyDescent="0.25">
      <c r="A116" s="18" t="s">
        <v>852</v>
      </c>
      <c r="B116" s="13" t="s">
        <v>853</v>
      </c>
      <c r="C116" s="15">
        <f>C58</f>
        <v>0.39800000000000008</v>
      </c>
      <c r="D116" s="14">
        <f>D115*C116</f>
        <v>0</v>
      </c>
    </row>
    <row r="117" spans="1:4" ht="15.75" customHeight="1" x14ac:dyDescent="0.25">
      <c r="A117" s="596" t="s">
        <v>752</v>
      </c>
      <c r="B117" s="588"/>
      <c r="C117" s="177"/>
      <c r="D117" s="178">
        <f>SUM(D115:D116)</f>
        <v>0</v>
      </c>
    </row>
    <row r="118" spans="1:4" ht="8.1" customHeight="1" x14ac:dyDescent="0.25">
      <c r="A118" s="577"/>
      <c r="B118" s="578"/>
      <c r="C118" s="3"/>
      <c r="D118" s="41"/>
    </row>
    <row r="119" spans="1:4" ht="8.1" customHeight="1" x14ac:dyDescent="0.25">
      <c r="A119" s="7"/>
      <c r="C119" s="20"/>
      <c r="D119" s="127"/>
    </row>
    <row r="120" spans="1:4" ht="15.75" customHeight="1" x14ac:dyDescent="0.25">
      <c r="A120" s="587" t="s">
        <v>854</v>
      </c>
      <c r="B120" s="588"/>
      <c r="C120" s="151"/>
      <c r="D120" s="152" t="s">
        <v>734</v>
      </c>
    </row>
    <row r="121" spans="1:4" ht="15.75" customHeight="1" x14ac:dyDescent="0.25">
      <c r="A121" s="18" t="s">
        <v>855</v>
      </c>
      <c r="B121" s="13" t="s">
        <v>856</v>
      </c>
      <c r="C121" s="15"/>
      <c r="D121" s="14">
        <f>D111</f>
        <v>252.02842397394011</v>
      </c>
    </row>
    <row r="122" spans="1:4" ht="15.75" customHeight="1" x14ac:dyDescent="0.25">
      <c r="A122" s="18" t="s">
        <v>857</v>
      </c>
      <c r="B122" s="13" t="s">
        <v>858</v>
      </c>
      <c r="C122" s="14"/>
      <c r="D122" s="14">
        <f>D117</f>
        <v>0</v>
      </c>
    </row>
    <row r="123" spans="1:4" ht="15.75" customHeight="1" thickBot="1" x14ac:dyDescent="0.3">
      <c r="A123" s="593" t="s">
        <v>752</v>
      </c>
      <c r="B123" s="594"/>
      <c r="C123" s="172"/>
      <c r="D123" s="173">
        <f>SUM(D121:D122)</f>
        <v>252.02842397394011</v>
      </c>
    </row>
    <row r="124" spans="1:4" ht="8.1" customHeight="1" x14ac:dyDescent="0.25">
      <c r="A124" s="153"/>
      <c r="B124" s="154"/>
      <c r="C124" s="155"/>
      <c r="D124" s="156"/>
    </row>
    <row r="125" spans="1:4" ht="8.1" customHeight="1" thickBot="1" x14ac:dyDescent="0.3">
      <c r="A125" s="125"/>
      <c r="B125" s="42"/>
      <c r="C125" s="140"/>
      <c r="D125" s="127"/>
    </row>
    <row r="126" spans="1:4" ht="18" customHeight="1" x14ac:dyDescent="0.25">
      <c r="A126" s="591" t="s">
        <v>859</v>
      </c>
      <c r="B126" s="592"/>
      <c r="C126" s="12"/>
      <c r="D126" s="150" t="s">
        <v>734</v>
      </c>
    </row>
    <row r="127" spans="1:4" ht="15.75" customHeight="1" x14ac:dyDescent="0.25">
      <c r="A127" s="174" t="s">
        <v>860</v>
      </c>
      <c r="B127" s="175" t="s">
        <v>861</v>
      </c>
      <c r="C127" s="176"/>
      <c r="D127" s="44">
        <f>tbUNIFORMESL[[#Totals],[VL. MENSAL]]</f>
        <v>167.72833333333332</v>
      </c>
    </row>
    <row r="128" spans="1:4" ht="15.75" customHeight="1" x14ac:dyDescent="0.25">
      <c r="A128" s="174" t="s">
        <v>862</v>
      </c>
      <c r="B128" s="175" t="s">
        <v>863</v>
      </c>
      <c r="C128" s="176"/>
      <c r="D128" s="44">
        <v>0</v>
      </c>
    </row>
    <row r="129" spans="1:4" ht="15.75" customHeight="1" x14ac:dyDescent="0.25">
      <c r="A129" s="174" t="s">
        <v>864</v>
      </c>
      <c r="B129" s="175" t="s">
        <v>865</v>
      </c>
      <c r="C129" s="176"/>
      <c r="D129" s="44">
        <v>0</v>
      </c>
    </row>
    <row r="130" spans="1:4" ht="15.75" customHeight="1" x14ac:dyDescent="0.25">
      <c r="A130" s="174" t="s">
        <v>866</v>
      </c>
      <c r="B130" s="175" t="s">
        <v>867</v>
      </c>
      <c r="C130" s="176"/>
      <c r="D130" s="44">
        <v>0</v>
      </c>
    </row>
    <row r="131" spans="1:4" ht="15.75" customHeight="1" thickBot="1" x14ac:dyDescent="0.3">
      <c r="A131" s="593" t="s">
        <v>752</v>
      </c>
      <c r="B131" s="594"/>
      <c r="C131" s="172"/>
      <c r="D131" s="173">
        <f>SUM(D127:D130)</f>
        <v>167.72833333333332</v>
      </c>
    </row>
    <row r="132" spans="1:4" ht="15.95" customHeight="1" thickBot="1" x14ac:dyDescent="0.3">
      <c r="A132" s="4"/>
      <c r="B132" s="1"/>
      <c r="C132" s="22"/>
      <c r="D132" s="6"/>
    </row>
    <row r="133" spans="1:4" ht="18" customHeight="1" x14ac:dyDescent="0.25">
      <c r="A133" s="591" t="s">
        <v>868</v>
      </c>
      <c r="B133" s="592"/>
      <c r="C133" s="12"/>
      <c r="D133" s="150" t="s">
        <v>734</v>
      </c>
    </row>
    <row r="134" spans="1:4" ht="8.1" customHeight="1" x14ac:dyDescent="0.25">
      <c r="A134" s="7"/>
      <c r="C134" s="8"/>
      <c r="D134" s="127"/>
    </row>
    <row r="135" spans="1:4" ht="15.75" customHeight="1" x14ac:dyDescent="0.25">
      <c r="A135" s="587" t="s">
        <v>869</v>
      </c>
      <c r="B135" s="588"/>
      <c r="C135" s="151"/>
      <c r="D135" s="152">
        <f>SUM(D37,D82,D94,D123,D131)</f>
        <v>3810.6365712630741</v>
      </c>
    </row>
    <row r="136" spans="1:4" ht="8.1" customHeight="1" x14ac:dyDescent="0.25">
      <c r="A136" s="7"/>
      <c r="C136" s="8"/>
      <c r="D136" s="127"/>
    </row>
    <row r="137" spans="1:4" ht="15.75" customHeight="1" x14ac:dyDescent="0.25">
      <c r="A137" s="66" t="s">
        <v>870</v>
      </c>
      <c r="B137" s="34" t="s">
        <v>871</v>
      </c>
      <c r="C137" s="67">
        <v>0.05</v>
      </c>
      <c r="D137" s="35">
        <f>D$135*C137</f>
        <v>190.53182856315371</v>
      </c>
    </row>
    <row r="138" spans="1:4" ht="15.75" customHeight="1" x14ac:dyDescent="0.25">
      <c r="A138" s="66" t="s">
        <v>872</v>
      </c>
      <c r="B138" s="34" t="s">
        <v>873</v>
      </c>
      <c r="C138" s="67">
        <v>0.1</v>
      </c>
      <c r="D138" s="35">
        <f>SUM(D135,D137)*C138</f>
        <v>400.11683998262282</v>
      </c>
    </row>
    <row r="139" spans="1:4" ht="8.1" customHeight="1" x14ac:dyDescent="0.25">
      <c r="A139" s="7"/>
      <c r="C139" s="8"/>
      <c r="D139" s="127"/>
    </row>
    <row r="140" spans="1:4" ht="15.75" customHeight="1" x14ac:dyDescent="0.25">
      <c r="A140" s="587" t="s">
        <v>874</v>
      </c>
      <c r="B140" s="588"/>
      <c r="C140" s="151"/>
      <c r="D140" s="152">
        <f>SUM(D135,D137:D138)</f>
        <v>4401.2852398088507</v>
      </c>
    </row>
    <row r="141" spans="1:4" ht="8.1" customHeight="1" x14ac:dyDescent="0.25">
      <c r="A141" s="7"/>
      <c r="C141" s="8"/>
      <c r="D141" s="127"/>
    </row>
    <row r="142" spans="1:4" ht="15.75" customHeight="1" x14ac:dyDescent="0.25">
      <c r="A142" s="18" t="s">
        <v>875</v>
      </c>
      <c r="B142" s="13" t="s">
        <v>876</v>
      </c>
      <c r="C142" s="19">
        <f>'DADOS CCT'!D21</f>
        <v>7.5999999999999998E-2</v>
      </c>
      <c r="D142" s="14">
        <f>(D$140/(1-C$146))*C142</f>
        <v>385.58810170083308</v>
      </c>
    </row>
    <row r="143" spans="1:4" ht="15.75" customHeight="1" x14ac:dyDescent="0.25">
      <c r="A143" s="18" t="s">
        <v>877</v>
      </c>
      <c r="B143" s="13" t="s">
        <v>878</v>
      </c>
      <c r="C143" s="19">
        <f>'DADOS CCT'!D20</f>
        <v>1.6500000000000001E-2</v>
      </c>
      <c r="D143" s="14">
        <f>(D$140/(1-C$146))*C143</f>
        <v>83.713206290312456</v>
      </c>
    </row>
    <row r="144" spans="1:4" ht="15.75" customHeight="1" x14ac:dyDescent="0.25">
      <c r="A144" s="18" t="s">
        <v>879</v>
      </c>
      <c r="B144" s="13" t="s">
        <v>880</v>
      </c>
      <c r="C144" s="15"/>
      <c r="D144" s="14">
        <f>(D$140/(1-C$146))*C144</f>
        <v>0</v>
      </c>
    </row>
    <row r="145" spans="1:4" ht="15.75" customHeight="1" x14ac:dyDescent="0.25">
      <c r="A145" s="18" t="s">
        <v>881</v>
      </c>
      <c r="B145" s="13" t="s">
        <v>882</v>
      </c>
      <c r="C145" s="19">
        <f>'DADOS CCT'!D19</f>
        <v>0.04</v>
      </c>
      <c r="D145" s="14">
        <f>(D$140/(1-C$146))*C145</f>
        <v>202.94110615833321</v>
      </c>
    </row>
    <row r="146" spans="1:4" ht="15.75" customHeight="1" thickBot="1" x14ac:dyDescent="0.3">
      <c r="A146" s="599" t="s">
        <v>752</v>
      </c>
      <c r="B146" s="600"/>
      <c r="C146" s="43">
        <f>SUM(C142:C145)</f>
        <v>0.13250000000000001</v>
      </c>
      <c r="D146" s="39">
        <f>SUM(D137:D138,D142:D145)</f>
        <v>1262.8910826952554</v>
      </c>
    </row>
    <row r="147" spans="1:4" ht="15.95" customHeight="1" thickBot="1" x14ac:dyDescent="0.3">
      <c r="A147" s="4"/>
      <c r="B147" s="1"/>
      <c r="C147" s="22"/>
      <c r="D147" s="6"/>
    </row>
    <row r="148" spans="1:4" ht="18" customHeight="1" x14ac:dyDescent="0.25">
      <c r="A148" s="601" t="s">
        <v>883</v>
      </c>
      <c r="B148" s="602"/>
      <c r="C148" s="170"/>
      <c r="D148" s="171" t="s">
        <v>734</v>
      </c>
    </row>
    <row r="149" spans="1:4" ht="15.75" customHeight="1" x14ac:dyDescent="0.25">
      <c r="A149" s="45"/>
      <c r="B149" s="46" t="s">
        <v>884</v>
      </c>
      <c r="C149" s="136"/>
      <c r="D149" s="28">
        <f>D37</f>
        <v>1708.5656363636365</v>
      </c>
    </row>
    <row r="150" spans="1:4" ht="15.75" customHeight="1" x14ac:dyDescent="0.25">
      <c r="A150" s="45"/>
      <c r="B150" s="46" t="s">
        <v>885</v>
      </c>
      <c r="C150" s="136"/>
      <c r="D150" s="28">
        <f>D82</f>
        <v>1499.4207690476183</v>
      </c>
    </row>
    <row r="151" spans="1:4" ht="15.75" customHeight="1" x14ac:dyDescent="0.25">
      <c r="A151" s="45"/>
      <c r="B151" s="46" t="s">
        <v>886</v>
      </c>
      <c r="C151" s="143"/>
      <c r="D151" s="28">
        <f>D94</f>
        <v>182.89340854454548</v>
      </c>
    </row>
    <row r="152" spans="1:4" ht="15.75" customHeight="1" x14ac:dyDescent="0.25">
      <c r="A152" s="45"/>
      <c r="B152" s="46" t="s">
        <v>887</v>
      </c>
      <c r="C152" s="136"/>
      <c r="D152" s="28">
        <f>D123</f>
        <v>252.02842397394011</v>
      </c>
    </row>
    <row r="153" spans="1:4" ht="15.75" customHeight="1" x14ac:dyDescent="0.25">
      <c r="A153" s="45"/>
      <c r="B153" s="46" t="s">
        <v>888</v>
      </c>
      <c r="C153" s="136"/>
      <c r="D153" s="28">
        <f>D131</f>
        <v>167.72833333333332</v>
      </c>
    </row>
    <row r="154" spans="1:4" ht="15.75" customHeight="1" x14ac:dyDescent="0.25">
      <c r="A154" s="585" t="s">
        <v>752</v>
      </c>
      <c r="B154" s="412"/>
      <c r="C154" s="137"/>
      <c r="D154" s="138">
        <f>SUM(D149:D153)</f>
        <v>3810.6365712630741</v>
      </c>
    </row>
    <row r="155" spans="1:4" ht="15.75" customHeight="1" x14ac:dyDescent="0.25">
      <c r="A155" s="45"/>
      <c r="B155" s="46" t="s">
        <v>889</v>
      </c>
      <c r="C155" s="143"/>
      <c r="D155" s="28">
        <f>D146</f>
        <v>1262.8910826952554</v>
      </c>
    </row>
    <row r="156" spans="1:4" ht="15.75" customHeight="1" thickBot="1" x14ac:dyDescent="0.35">
      <c r="A156" s="603" t="s">
        <v>890</v>
      </c>
      <c r="B156" s="604"/>
      <c r="C156" s="168"/>
      <c r="D156" s="169">
        <f>TRUNC(SUM(D154:D155),2)</f>
        <v>5073.5200000000004</v>
      </c>
    </row>
    <row r="157" spans="1:4" ht="8.1" customHeight="1" thickBot="1" x14ac:dyDescent="0.3">
      <c r="A157" s="9"/>
      <c r="B157" s="10"/>
      <c r="C157" s="21"/>
      <c r="D157" s="11"/>
    </row>
    <row r="158" spans="1:4" ht="15.75" customHeight="1" thickBot="1" x14ac:dyDescent="0.3">
      <c r="A158" s="605" t="s">
        <v>891</v>
      </c>
      <c r="B158" s="470"/>
      <c r="C158" s="166"/>
      <c r="D158" s="167">
        <v>1</v>
      </c>
    </row>
    <row r="159" spans="1:4" ht="8.1" customHeight="1" thickBot="1" x14ac:dyDescent="0.3">
      <c r="A159" s="9"/>
      <c r="B159" s="10"/>
      <c r="C159" s="21"/>
      <c r="D159" s="11"/>
    </row>
    <row r="160" spans="1:4" ht="15.75" customHeight="1" thickBot="1" x14ac:dyDescent="0.35">
      <c r="A160" s="597" t="s">
        <v>892</v>
      </c>
      <c r="B160" s="598"/>
      <c r="C160" s="164"/>
      <c r="D160" s="165">
        <f>TRUNC(D156*D158,2)</f>
        <v>5073.5200000000004</v>
      </c>
    </row>
    <row r="161" spans="1:4" ht="15.95" customHeight="1" thickBot="1" x14ac:dyDescent="0.3"/>
    <row r="162" spans="1:4" ht="15.75" customHeight="1" thickBot="1" x14ac:dyDescent="0.35">
      <c r="A162" s="561" t="s">
        <v>893</v>
      </c>
      <c r="B162" s="562"/>
      <c r="C162" s="162"/>
      <c r="D162" s="163">
        <f>D156/D37</f>
        <v>2.9694615717532762</v>
      </c>
    </row>
    <row r="163" spans="1:4" ht="15.95" customHeight="1" thickBot="1" x14ac:dyDescent="0.3">
      <c r="A163" s="33"/>
      <c r="B163" s="33"/>
      <c r="C163" s="33"/>
    </row>
    <row r="164" spans="1:4" ht="15.75" customHeight="1" x14ac:dyDescent="0.3">
      <c r="A164" s="551" t="s">
        <v>894</v>
      </c>
      <c r="B164" s="551"/>
      <c r="C164" s="160"/>
      <c r="D164" s="161"/>
    </row>
    <row r="165" spans="1:4" ht="15" customHeight="1" thickBot="1" x14ac:dyDescent="0.3">
      <c r="A165" s="157"/>
      <c r="B165" s="157" t="s">
        <v>895</v>
      </c>
      <c r="C165" s="157"/>
      <c r="D165" s="158">
        <f>TRUNC(D156/C$18,2)</f>
        <v>241.59</v>
      </c>
    </row>
  </sheetData>
  <mergeCells count="65">
    <mergeCell ref="A156:B156"/>
    <mergeCell ref="A158:B158"/>
    <mergeCell ref="A160:B160"/>
    <mergeCell ref="A162:B162"/>
    <mergeCell ref="A164:B164"/>
    <mergeCell ref="A154:B154"/>
    <mergeCell ref="A117:B117"/>
    <mergeCell ref="A118:B118"/>
    <mergeCell ref="A120:B120"/>
    <mergeCell ref="A123:B123"/>
    <mergeCell ref="A126:B126"/>
    <mergeCell ref="A131:B131"/>
    <mergeCell ref="A133:B133"/>
    <mergeCell ref="A135:B135"/>
    <mergeCell ref="A140:B140"/>
    <mergeCell ref="A146:B146"/>
    <mergeCell ref="A148:B148"/>
    <mergeCell ref="A114:B114"/>
    <mergeCell ref="A78:B78"/>
    <mergeCell ref="A82:B82"/>
    <mergeCell ref="A85:B85"/>
    <mergeCell ref="A94:B94"/>
    <mergeCell ref="A95:B95"/>
    <mergeCell ref="A97:B97"/>
    <mergeCell ref="A99:B99"/>
    <mergeCell ref="A101:B101"/>
    <mergeCell ref="A109:B109"/>
    <mergeCell ref="A111:B111"/>
    <mergeCell ref="A112:B112"/>
    <mergeCell ref="A76:B76"/>
    <mergeCell ref="A37:B37"/>
    <mergeCell ref="A38:B38"/>
    <mergeCell ref="A40:B40"/>
    <mergeCell ref="A42:B42"/>
    <mergeCell ref="A45:B45"/>
    <mergeCell ref="A46:B46"/>
    <mergeCell ref="A48:B48"/>
    <mergeCell ref="A58:B58"/>
    <mergeCell ref="A59:B59"/>
    <mergeCell ref="A61:B61"/>
    <mergeCell ref="A75:B75"/>
    <mergeCell ref="A33:B33"/>
    <mergeCell ref="C16:D16"/>
    <mergeCell ref="C17:D17"/>
    <mergeCell ref="C18:D18"/>
    <mergeCell ref="C19:D19"/>
    <mergeCell ref="C20:D20"/>
    <mergeCell ref="C21:D21"/>
    <mergeCell ref="C22:D22"/>
    <mergeCell ref="C23:D23"/>
    <mergeCell ref="A25:B25"/>
    <mergeCell ref="C25:D25"/>
    <mergeCell ref="A27:B27"/>
    <mergeCell ref="C15:D15"/>
    <mergeCell ref="C3:D3"/>
    <mergeCell ref="C4:D4"/>
    <mergeCell ref="C5:D5"/>
    <mergeCell ref="A7:B7"/>
    <mergeCell ref="C8:D8"/>
    <mergeCell ref="C9:D9"/>
    <mergeCell ref="C10:D10"/>
    <mergeCell ref="C11:D11"/>
    <mergeCell ref="C12:D12"/>
    <mergeCell ref="C13:D13"/>
    <mergeCell ref="C14:D14"/>
  </mergeCells>
  <pageMargins left="0.70866141732283472" right="0.70866141732283472" top="0.74803149606299213" bottom="0.74803149606299213" header="0" footer="0"/>
  <pageSetup paperSize="9" scale="80" fitToHeight="0" orientation="portrait" r:id="rId1"/>
  <rowBreaks count="4" manualBreakCount="4">
    <brk id="38" max="3" man="1"/>
    <brk id="83" max="3" man="1"/>
    <brk id="90" max="16383" man="1"/>
    <brk id="124" max="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EB79F-7106-47D2-90D1-49A6E7A32E2A}">
  <sheetPr>
    <tabColor rgb="FFFFC000"/>
    <outlinePr summaryBelow="0"/>
    <pageSetUpPr fitToPage="1"/>
  </sheetPr>
  <dimension ref="A1:D165"/>
  <sheetViews>
    <sheetView workbookViewId="0"/>
  </sheetViews>
  <sheetFormatPr defaultColWidth="14.42578125" defaultRowHeight="15" customHeight="1" x14ac:dyDescent="0.25"/>
  <cols>
    <col min="1" max="1" width="6.7109375" customWidth="1"/>
    <col min="2" max="2" width="64.7109375" customWidth="1"/>
    <col min="3" max="3" width="18.7109375" customWidth="1"/>
    <col min="4" max="4" width="18.7109375" style="33" customWidth="1"/>
    <col min="5" max="16384" width="14.42578125" style="159"/>
  </cols>
  <sheetData>
    <row r="1" spans="1:4" ht="40.5" customHeight="1" x14ac:dyDescent="0.25">
      <c r="A1" s="38"/>
      <c r="B1" s="313" t="s">
        <v>692</v>
      </c>
      <c r="C1" s="37"/>
      <c r="D1" s="37"/>
    </row>
    <row r="2" spans="1:4" ht="15.95" customHeight="1" thickBot="1" x14ac:dyDescent="0.3">
      <c r="A2" s="125"/>
      <c r="B2" s="42"/>
      <c r="C2" s="126"/>
      <c r="D2" s="127"/>
    </row>
    <row r="3" spans="1:4" ht="15" customHeight="1" x14ac:dyDescent="0.25">
      <c r="A3" s="192"/>
      <c r="B3" s="314" t="s">
        <v>693</v>
      </c>
      <c r="C3" s="552"/>
      <c r="D3" s="552"/>
    </row>
    <row r="4" spans="1:4" ht="15" customHeight="1" x14ac:dyDescent="0.25">
      <c r="A4" s="193"/>
      <c r="B4" s="274" t="s">
        <v>694</v>
      </c>
      <c r="C4" s="553"/>
      <c r="D4" s="553"/>
    </row>
    <row r="5" spans="1:4" ht="15.75" customHeight="1" thickBot="1" x14ac:dyDescent="0.3">
      <c r="A5" s="194"/>
      <c r="B5" s="195" t="s">
        <v>695</v>
      </c>
      <c r="C5" s="554"/>
      <c r="D5" s="554"/>
    </row>
    <row r="6" spans="1:4" ht="15.95" customHeight="1" thickBot="1" x14ac:dyDescent="0.3">
      <c r="A6" s="125"/>
      <c r="B6" s="42"/>
      <c r="C6" s="126"/>
      <c r="D6" s="127"/>
    </row>
    <row r="7" spans="1:4" ht="15" customHeight="1" x14ac:dyDescent="0.25">
      <c r="A7" s="563" t="s">
        <v>696</v>
      </c>
      <c r="B7" s="564"/>
      <c r="C7" s="128"/>
      <c r="D7" s="129"/>
    </row>
    <row r="8" spans="1:4" ht="15" customHeight="1" x14ac:dyDescent="0.25">
      <c r="A8" s="45" t="s">
        <v>697</v>
      </c>
      <c r="B8" s="263" t="s">
        <v>698</v>
      </c>
      <c r="C8" s="555"/>
      <c r="D8" s="555"/>
    </row>
    <row r="9" spans="1:4" ht="15" customHeight="1" x14ac:dyDescent="0.25">
      <c r="A9" s="45" t="s">
        <v>699</v>
      </c>
      <c r="B9" s="263" t="s">
        <v>700</v>
      </c>
      <c r="C9" s="555" t="str">
        <f>'DADOS CCT'!B4</f>
        <v>SANTA MARIA</v>
      </c>
      <c r="D9" s="555"/>
    </row>
    <row r="10" spans="1:4" ht="15" customHeight="1" x14ac:dyDescent="0.25">
      <c r="A10" s="45" t="s">
        <v>701</v>
      </c>
      <c r="B10" s="263" t="s">
        <v>702</v>
      </c>
      <c r="C10" s="555" t="str">
        <f>'DADOS CCT'!C4&amp;" - "&amp;'DADOS CCT'!D5</f>
        <v>SINTEPS/RS - RS000042/2024</v>
      </c>
      <c r="D10" s="555"/>
    </row>
    <row r="11" spans="1:4" ht="15" customHeight="1" x14ac:dyDescent="0.25">
      <c r="A11" s="45" t="s">
        <v>703</v>
      </c>
      <c r="B11" s="263" t="s">
        <v>704</v>
      </c>
      <c r="C11" s="556">
        <v>12</v>
      </c>
      <c r="D11" s="556"/>
    </row>
    <row r="12" spans="1:4" ht="15" customHeight="1" x14ac:dyDescent="0.25">
      <c r="A12" s="45" t="s">
        <v>705</v>
      </c>
      <c r="B12" s="263" t="s">
        <v>706</v>
      </c>
      <c r="C12" s="557">
        <f>'DADOS CCT'!D6</f>
        <v>45292</v>
      </c>
      <c r="D12" s="557"/>
    </row>
    <row r="13" spans="1:4" ht="45.75" customHeight="1" x14ac:dyDescent="0.25">
      <c r="A13" s="45" t="s">
        <v>707</v>
      </c>
      <c r="B13" s="315" t="s">
        <v>708</v>
      </c>
      <c r="C13" s="558" t="s">
        <v>901</v>
      </c>
      <c r="D13" s="558"/>
    </row>
    <row r="14" spans="1:4" x14ac:dyDescent="0.25">
      <c r="A14" s="130" t="s">
        <v>710</v>
      </c>
      <c r="B14" s="131" t="s">
        <v>711</v>
      </c>
      <c r="C14" s="559" t="s">
        <v>902</v>
      </c>
      <c r="D14" s="559"/>
    </row>
    <row r="15" spans="1:4" x14ac:dyDescent="0.25">
      <c r="A15" s="130" t="s">
        <v>713</v>
      </c>
      <c r="B15" s="131" t="s">
        <v>714</v>
      </c>
      <c r="C15" s="559" t="s">
        <v>903</v>
      </c>
      <c r="D15" s="559"/>
    </row>
    <row r="16" spans="1:4" x14ac:dyDescent="0.25">
      <c r="A16" s="130" t="s">
        <v>716</v>
      </c>
      <c r="B16" s="131" t="s">
        <v>717</v>
      </c>
      <c r="C16" s="559" t="str">
        <f ca="1">RIGHT(CELL("nome.arquivo",A1),LEN(CELL("nome.arquivo",A1))-SEARCH("]",CELL("nome.arquivo",A1)))</f>
        <v>5142-05 COL.LX 5x2 DIURNO SM</v>
      </c>
      <c r="D16" s="559"/>
    </row>
    <row r="17" spans="1:4" x14ac:dyDescent="0.25">
      <c r="A17" s="130" t="s">
        <v>718</v>
      </c>
      <c r="B17" s="131" t="s">
        <v>719</v>
      </c>
      <c r="C17" s="560" t="s">
        <v>1196</v>
      </c>
      <c r="D17" s="560"/>
    </row>
    <row r="18" spans="1:4" x14ac:dyDescent="0.25">
      <c r="A18" s="130" t="s">
        <v>721</v>
      </c>
      <c r="B18" s="131" t="s">
        <v>722</v>
      </c>
      <c r="C18" s="560">
        <v>21</v>
      </c>
      <c r="D18" s="560"/>
    </row>
    <row r="19" spans="1:4" ht="15.75" customHeight="1" x14ac:dyDescent="0.25">
      <c r="A19" s="130" t="s">
        <v>723</v>
      </c>
      <c r="B19" s="131" t="s">
        <v>724</v>
      </c>
      <c r="C19" s="560">
        <f>'DADOS CCT'!D9</f>
        <v>1816.57</v>
      </c>
      <c r="D19" s="560"/>
    </row>
    <row r="20" spans="1:4" ht="15.75" customHeight="1" x14ac:dyDescent="0.25">
      <c r="A20" s="130" t="s">
        <v>725</v>
      </c>
      <c r="B20" s="132" t="s">
        <v>726</v>
      </c>
      <c r="C20" s="573">
        <f>C19/220</f>
        <v>8.2571363636363628</v>
      </c>
      <c r="D20" s="573"/>
    </row>
    <row r="21" spans="1:4" ht="15.75" customHeight="1" x14ac:dyDescent="0.25">
      <c r="A21" s="130" t="s">
        <v>727</v>
      </c>
      <c r="B21" s="132" t="s">
        <v>728</v>
      </c>
      <c r="C21" s="573">
        <f>C20*1.5</f>
        <v>12.385704545454544</v>
      </c>
      <c r="D21" s="573"/>
    </row>
    <row r="22" spans="1:4" ht="15.75" customHeight="1" x14ac:dyDescent="0.25">
      <c r="A22" s="130" t="s">
        <v>729</v>
      </c>
      <c r="B22" s="132" t="s">
        <v>730</v>
      </c>
      <c r="C22" s="573">
        <f>C20*2</f>
        <v>16.514272727272726</v>
      </c>
      <c r="D22" s="573"/>
    </row>
    <row r="23" spans="1:4" ht="15.75" customHeight="1" thickBot="1" x14ac:dyDescent="0.3">
      <c r="A23" s="133" t="s">
        <v>731</v>
      </c>
      <c r="B23" s="134" t="s">
        <v>732</v>
      </c>
      <c r="C23" s="574">
        <f>C20*0.2</f>
        <v>1.6514272727272727</v>
      </c>
      <c r="D23" s="574"/>
    </row>
    <row r="24" spans="1:4" ht="15.95" customHeight="1" thickBot="1" x14ac:dyDescent="0.3">
      <c r="A24" s="125"/>
      <c r="B24" s="42"/>
      <c r="C24" s="126"/>
      <c r="D24" s="127"/>
    </row>
    <row r="25" spans="1:4" ht="15.75" thickBot="1" x14ac:dyDescent="0.3">
      <c r="A25" s="565"/>
      <c r="B25" s="566"/>
      <c r="C25" s="567" t="str">
        <f>'DADOS CCT'!D3</f>
        <v>00 - VALOR ESTIMADO</v>
      </c>
      <c r="D25" s="568"/>
    </row>
    <row r="26" spans="1:4" ht="6" customHeight="1" thickBot="1" x14ac:dyDescent="0.3">
      <c r="A26" s="4"/>
      <c r="B26" s="1"/>
      <c r="C26" s="5"/>
      <c r="D26" s="6"/>
    </row>
    <row r="27" spans="1:4" ht="18" customHeight="1" x14ac:dyDescent="0.25">
      <c r="A27" s="569" t="s">
        <v>733</v>
      </c>
      <c r="B27" s="570"/>
      <c r="C27" s="190"/>
      <c r="D27" s="191" t="s">
        <v>734</v>
      </c>
    </row>
    <row r="28" spans="1:4" ht="15.75" customHeight="1" x14ac:dyDescent="0.25">
      <c r="A28" s="45" t="s">
        <v>735</v>
      </c>
      <c r="B28" s="46" t="s">
        <v>736</v>
      </c>
      <c r="C28" s="135">
        <v>220</v>
      </c>
      <c r="D28" s="28">
        <f>C28*C19/220</f>
        <v>1816.57</v>
      </c>
    </row>
    <row r="29" spans="1:4" ht="15.75" customHeight="1" x14ac:dyDescent="0.25">
      <c r="A29" s="45" t="s">
        <v>737</v>
      </c>
      <c r="B29" s="46" t="s">
        <v>738</v>
      </c>
      <c r="C29" s="136"/>
      <c r="D29" s="28">
        <f>D$28*C29</f>
        <v>0</v>
      </c>
    </row>
    <row r="30" spans="1:4" ht="15.75" customHeight="1" x14ac:dyDescent="0.25">
      <c r="A30" s="45" t="s">
        <v>739</v>
      </c>
      <c r="B30" s="46" t="s">
        <v>740</v>
      </c>
      <c r="C30" s="136">
        <v>0.4</v>
      </c>
      <c r="D30" s="208">
        <f>C30*C19</f>
        <v>726.62800000000004</v>
      </c>
    </row>
    <row r="31" spans="1:4" ht="15.75" customHeight="1" x14ac:dyDescent="0.25">
      <c r="A31" s="45" t="s">
        <v>741</v>
      </c>
      <c r="B31" s="46" t="s">
        <v>742</v>
      </c>
      <c r="C31" s="28"/>
      <c r="D31" s="28">
        <f>(D28/C28)*0.2*C31*(60/52.5)</f>
        <v>0</v>
      </c>
    </row>
    <row r="32" spans="1:4" ht="15.75" customHeight="1" x14ac:dyDescent="0.25">
      <c r="A32" s="45" t="s">
        <v>743</v>
      </c>
      <c r="B32" s="46" t="s">
        <v>744</v>
      </c>
      <c r="C32" s="28"/>
      <c r="D32" s="28">
        <f>(D28/C28)*1.5*C32</f>
        <v>0</v>
      </c>
    </row>
    <row r="33" spans="1:4" ht="15.75" customHeight="1" x14ac:dyDescent="0.25">
      <c r="A33" s="571" t="s">
        <v>745</v>
      </c>
      <c r="B33" s="572"/>
      <c r="C33" s="184"/>
      <c r="D33" s="185">
        <f>SUM(D28:D32)</f>
        <v>2543.1979999999999</v>
      </c>
    </row>
    <row r="34" spans="1:4" ht="15.75" customHeight="1" x14ac:dyDescent="0.25">
      <c r="A34" s="45" t="s">
        <v>746</v>
      </c>
      <c r="B34" s="46" t="s">
        <v>747</v>
      </c>
      <c r="C34" s="28"/>
      <c r="D34" s="28">
        <f>15*C34*(D28/C28)*1.5</f>
        <v>0</v>
      </c>
    </row>
    <row r="35" spans="1:4" ht="15.75" customHeight="1" x14ac:dyDescent="0.25">
      <c r="A35" s="45" t="s">
        <v>748</v>
      </c>
      <c r="B35" s="46" t="s">
        <v>749</v>
      </c>
      <c r="C35" s="139">
        <f>'DADOS CCT'!D12</f>
        <v>0</v>
      </c>
      <c r="D35" s="28">
        <f>D28*C35</f>
        <v>0</v>
      </c>
    </row>
    <row r="36" spans="1:4" ht="15.75" customHeight="1" x14ac:dyDescent="0.25">
      <c r="A36" s="45" t="s">
        <v>750</v>
      </c>
      <c r="B36" s="46" t="s">
        <v>751</v>
      </c>
      <c r="C36" s="136"/>
      <c r="D36" s="28">
        <f>D$28*C36</f>
        <v>0</v>
      </c>
    </row>
    <row r="37" spans="1:4" ht="15.75" customHeight="1" thickBot="1" x14ac:dyDescent="0.3">
      <c r="A37" s="575" t="s">
        <v>752</v>
      </c>
      <c r="B37" s="576"/>
      <c r="C37" s="188"/>
      <c r="D37" s="189">
        <f>SUM(D33:D36)</f>
        <v>2543.1979999999999</v>
      </c>
    </row>
    <row r="38" spans="1:4" ht="24" customHeight="1" x14ac:dyDescent="0.25">
      <c r="A38" s="577" t="s">
        <v>1233</v>
      </c>
      <c r="B38" s="578"/>
      <c r="C38" s="8"/>
      <c r="D38" s="127"/>
    </row>
    <row r="39" spans="1:4" ht="8.1" customHeight="1" thickBot="1" x14ac:dyDescent="0.3">
      <c r="A39" s="7"/>
      <c r="B39" s="16"/>
      <c r="C39" s="8"/>
      <c r="D39" s="127"/>
    </row>
    <row r="40" spans="1:4" ht="18" customHeight="1" x14ac:dyDescent="0.25">
      <c r="A40" s="579" t="s">
        <v>753</v>
      </c>
      <c r="B40" s="580"/>
      <c r="C40" s="142"/>
      <c r="D40" s="187"/>
    </row>
    <row r="41" spans="1:4" ht="6" customHeight="1" x14ac:dyDescent="0.25">
      <c r="A41" s="125"/>
      <c r="B41" s="42"/>
      <c r="C41" s="126"/>
      <c r="D41" s="127"/>
    </row>
    <row r="42" spans="1:4" ht="15.75" customHeight="1" x14ac:dyDescent="0.25">
      <c r="A42" s="581" t="s">
        <v>754</v>
      </c>
      <c r="B42" s="572"/>
      <c r="C42" s="182"/>
      <c r="D42" s="183" t="s">
        <v>734</v>
      </c>
    </row>
    <row r="43" spans="1:4" ht="15" customHeight="1" x14ac:dyDescent="0.25">
      <c r="A43" s="45" t="s">
        <v>755</v>
      </c>
      <c r="B43" s="46" t="s">
        <v>756</v>
      </c>
      <c r="C43" s="136">
        <v>8.3299999999999999E-2</v>
      </c>
      <c r="D43" s="28">
        <f>D$33*C43</f>
        <v>211.84839339999999</v>
      </c>
    </row>
    <row r="44" spans="1:4" ht="15" customHeight="1" x14ac:dyDescent="0.25">
      <c r="A44" s="45" t="s">
        <v>757</v>
      </c>
      <c r="B44" s="46" t="s">
        <v>758</v>
      </c>
      <c r="C44" s="143">
        <v>3.0249999999999999E-2</v>
      </c>
      <c r="D44" s="28">
        <f>D$33*C44</f>
        <v>76.931739499999992</v>
      </c>
    </row>
    <row r="45" spans="1:4" ht="15.75" customHeight="1" x14ac:dyDescent="0.25">
      <c r="A45" s="582" t="s">
        <v>752</v>
      </c>
      <c r="B45" s="572"/>
      <c r="C45" s="186"/>
      <c r="D45" s="185">
        <f>SUM(D43:D44)</f>
        <v>288.78013290000001</v>
      </c>
    </row>
    <row r="46" spans="1:4" ht="37.5" customHeight="1" x14ac:dyDescent="0.25">
      <c r="A46" s="583" t="s">
        <v>759</v>
      </c>
      <c r="B46" s="584"/>
      <c r="C46" s="141"/>
      <c r="D46" s="41"/>
    </row>
    <row r="47" spans="1:4" ht="8.1" customHeight="1" x14ac:dyDescent="0.25">
      <c r="A47" s="125"/>
      <c r="B47" s="33"/>
      <c r="C47" s="126"/>
      <c r="D47" s="127"/>
    </row>
    <row r="48" spans="1:4" ht="15.75" customHeight="1" x14ac:dyDescent="0.25">
      <c r="A48" s="581" t="s">
        <v>760</v>
      </c>
      <c r="B48" s="572"/>
      <c r="C48" s="182"/>
      <c r="D48" s="183" t="s">
        <v>734</v>
      </c>
    </row>
    <row r="49" spans="1:4" ht="15" customHeight="1" x14ac:dyDescent="0.25">
      <c r="A49" s="45" t="s">
        <v>761</v>
      </c>
      <c r="B49" s="46" t="s">
        <v>762</v>
      </c>
      <c r="C49" s="136">
        <v>0.2</v>
      </c>
      <c r="D49" s="28">
        <f t="shared" ref="D49:D57" si="0">(D$33+D$45)*C49</f>
        <v>566.39562658</v>
      </c>
    </row>
    <row r="50" spans="1:4" ht="15" customHeight="1" x14ac:dyDescent="0.25">
      <c r="A50" s="45" t="s">
        <v>763</v>
      </c>
      <c r="B50" s="46" t="s">
        <v>764</v>
      </c>
      <c r="C50" s="136">
        <v>2.5000000000000001E-2</v>
      </c>
      <c r="D50" s="28">
        <f t="shared" si="0"/>
        <v>70.7994533225</v>
      </c>
    </row>
    <row r="51" spans="1:4" ht="15" customHeight="1" x14ac:dyDescent="0.25">
      <c r="A51" s="45" t="s">
        <v>765</v>
      </c>
      <c r="B51" s="46" t="s">
        <v>766</v>
      </c>
      <c r="C51" s="144">
        <f>'DADOS CCT'!D$22*'DADOS CCT'!D$23</f>
        <v>0.06</v>
      </c>
      <c r="D51" s="28">
        <f t="shared" si="0"/>
        <v>169.91868797399997</v>
      </c>
    </row>
    <row r="52" spans="1:4" ht="15" customHeight="1" x14ac:dyDescent="0.25">
      <c r="A52" s="45" t="s">
        <v>767</v>
      </c>
      <c r="B52" s="46" t="s">
        <v>768</v>
      </c>
      <c r="C52" s="136">
        <v>1.4999999999999999E-2</v>
      </c>
      <c r="D52" s="28">
        <f t="shared" si="0"/>
        <v>42.479671993499991</v>
      </c>
    </row>
    <row r="53" spans="1:4" ht="15" customHeight="1" x14ac:dyDescent="0.25">
      <c r="A53" s="45" t="s">
        <v>769</v>
      </c>
      <c r="B53" s="46" t="s">
        <v>770</v>
      </c>
      <c r="C53" s="136">
        <v>0.01</v>
      </c>
      <c r="D53" s="28">
        <f t="shared" si="0"/>
        <v>28.319781328999998</v>
      </c>
    </row>
    <row r="54" spans="1:4" ht="15" customHeight="1" x14ac:dyDescent="0.25">
      <c r="A54" s="45" t="s">
        <v>771</v>
      </c>
      <c r="B54" s="46" t="s">
        <v>772</v>
      </c>
      <c r="C54" s="136">
        <v>6.0000000000000001E-3</v>
      </c>
      <c r="D54" s="28">
        <f t="shared" si="0"/>
        <v>16.991868797399999</v>
      </c>
    </row>
    <row r="55" spans="1:4" ht="15" customHeight="1" x14ac:dyDescent="0.25">
      <c r="A55" s="45" t="s">
        <v>773</v>
      </c>
      <c r="B55" s="46" t="s">
        <v>774</v>
      </c>
      <c r="C55" s="136">
        <v>2E-3</v>
      </c>
      <c r="D55" s="28">
        <f t="shared" si="0"/>
        <v>5.6639562657999996</v>
      </c>
    </row>
    <row r="56" spans="1:4" ht="15" customHeight="1" x14ac:dyDescent="0.25">
      <c r="A56" s="45" t="s">
        <v>775</v>
      </c>
      <c r="B56" s="46" t="s">
        <v>776</v>
      </c>
      <c r="C56" s="136">
        <v>0.08</v>
      </c>
      <c r="D56" s="28">
        <f t="shared" si="0"/>
        <v>226.55825063199998</v>
      </c>
    </row>
    <row r="57" spans="1:4" ht="15" customHeight="1" x14ac:dyDescent="0.25">
      <c r="A57" s="45" t="s">
        <v>777</v>
      </c>
      <c r="B57" s="46" t="s">
        <v>778</v>
      </c>
      <c r="C57" s="136"/>
      <c r="D57" s="28">
        <f t="shared" si="0"/>
        <v>0</v>
      </c>
    </row>
    <row r="58" spans="1:4" ht="15.75" customHeight="1" x14ac:dyDescent="0.25">
      <c r="A58" s="585" t="s">
        <v>752</v>
      </c>
      <c r="B58" s="412"/>
      <c r="C58" s="137">
        <f>SUM(C49:C50,C51:C57)</f>
        <v>0.39800000000000008</v>
      </c>
      <c r="D58" s="138">
        <f>SUM(D49:D57)</f>
        <v>1127.1272968941998</v>
      </c>
    </row>
    <row r="59" spans="1:4" ht="20.25" customHeight="1" x14ac:dyDescent="0.25">
      <c r="A59" s="583" t="s">
        <v>779</v>
      </c>
      <c r="B59" s="586"/>
      <c r="C59" s="141"/>
      <c r="D59" s="41"/>
    </row>
    <row r="60" spans="1:4" ht="8.1" customHeight="1" x14ac:dyDescent="0.25">
      <c r="A60" s="125"/>
      <c r="B60" s="33"/>
      <c r="C60" s="140"/>
      <c r="D60" s="127"/>
    </row>
    <row r="61" spans="1:4" ht="15.75" customHeight="1" x14ac:dyDescent="0.25">
      <c r="A61" s="581" t="s">
        <v>780</v>
      </c>
      <c r="B61" s="572"/>
      <c r="C61" s="182"/>
      <c r="D61" s="183" t="s">
        <v>734</v>
      </c>
    </row>
    <row r="62" spans="1:4" ht="15.75" customHeight="1" x14ac:dyDescent="0.25">
      <c r="A62" s="45" t="s">
        <v>781</v>
      </c>
      <c r="B62" s="46" t="s">
        <v>782</v>
      </c>
      <c r="C62" s="145"/>
      <c r="D62" s="138">
        <f>((C63*C64*C65)-D66)*C67</f>
        <v>101.00580000000001</v>
      </c>
    </row>
    <row r="63" spans="1:4" ht="15.75" customHeight="1" x14ac:dyDescent="0.25">
      <c r="A63" s="45" t="s">
        <v>783</v>
      </c>
      <c r="B63" s="46" t="s">
        <v>784</v>
      </c>
      <c r="C63" s="146">
        <f>'DADOS CCT'!D13</f>
        <v>5</v>
      </c>
      <c r="D63" s="28">
        <v>0</v>
      </c>
    </row>
    <row r="64" spans="1:4" ht="15.75" customHeight="1" x14ac:dyDescent="0.25">
      <c r="A64" s="45" t="s">
        <v>785</v>
      </c>
      <c r="B64" s="46" t="s">
        <v>786</v>
      </c>
      <c r="C64" s="28">
        <v>2</v>
      </c>
      <c r="D64" s="28">
        <v>0</v>
      </c>
    </row>
    <row r="65" spans="1:4" ht="15.75" customHeight="1" x14ac:dyDescent="0.25">
      <c r="A65" s="45" t="s">
        <v>787</v>
      </c>
      <c r="B65" s="46" t="s">
        <v>788</v>
      </c>
      <c r="C65" s="147">
        <f>C$18</f>
        <v>21</v>
      </c>
      <c r="D65" s="28">
        <v>0</v>
      </c>
    </row>
    <row r="66" spans="1:4" ht="15.75" customHeight="1" x14ac:dyDescent="0.25">
      <c r="A66" s="45" t="s">
        <v>789</v>
      </c>
      <c r="B66" s="46" t="s">
        <v>790</v>
      </c>
      <c r="C66" s="136">
        <v>0.06</v>
      </c>
      <c r="D66" s="28">
        <f>C66*D$28</f>
        <v>108.99419999999999</v>
      </c>
    </row>
    <row r="67" spans="1:4" ht="15.75" customHeight="1" x14ac:dyDescent="0.25">
      <c r="A67" s="45" t="s">
        <v>791</v>
      </c>
      <c r="B67" s="46" t="s">
        <v>792</v>
      </c>
      <c r="C67" s="144">
        <f>'DADOS CCT'!D14</f>
        <v>1</v>
      </c>
      <c r="D67" s="28">
        <v>0</v>
      </c>
    </row>
    <row r="68" spans="1:4" ht="15.75" customHeight="1" x14ac:dyDescent="0.25">
      <c r="A68" s="45" t="s">
        <v>793</v>
      </c>
      <c r="B68" s="46" t="s">
        <v>794</v>
      </c>
      <c r="C68" s="136"/>
      <c r="D68" s="138">
        <f>(C69*C70)-D71</f>
        <v>402.79679999999996</v>
      </c>
    </row>
    <row r="69" spans="1:4" ht="15.75" customHeight="1" x14ac:dyDescent="0.25">
      <c r="A69" s="45" t="s">
        <v>795</v>
      </c>
      <c r="B69" s="46" t="s">
        <v>796</v>
      </c>
      <c r="C69" s="146">
        <f>'DADOS CCT'!D15</f>
        <v>23.68</v>
      </c>
      <c r="D69" s="28">
        <v>0</v>
      </c>
    </row>
    <row r="70" spans="1:4" ht="15.75" customHeight="1" x14ac:dyDescent="0.25">
      <c r="A70" s="45" t="s">
        <v>797</v>
      </c>
      <c r="B70" s="46" t="s">
        <v>798</v>
      </c>
      <c r="C70" s="147">
        <f>C$18</f>
        <v>21</v>
      </c>
      <c r="D70" s="28">
        <v>0</v>
      </c>
    </row>
    <row r="71" spans="1:4" ht="15.75" customHeight="1" x14ac:dyDescent="0.25">
      <c r="A71" s="45" t="s">
        <v>799</v>
      </c>
      <c r="B71" s="46" t="s">
        <v>800</v>
      </c>
      <c r="C71" s="144">
        <f>'DADOS CCT'!D17</f>
        <v>0.19</v>
      </c>
      <c r="D71" s="28">
        <f>(C69*C70)*C71</f>
        <v>94.483199999999997</v>
      </c>
    </row>
    <row r="72" spans="1:4" ht="15.75" customHeight="1" x14ac:dyDescent="0.25">
      <c r="A72" s="45" t="s">
        <v>801</v>
      </c>
      <c r="B72" s="46" t="s">
        <v>802</v>
      </c>
      <c r="C72" s="136"/>
      <c r="D72" s="208">
        <f>'DADOS CCT'!D$18</f>
        <v>19.420000000000002</v>
      </c>
    </row>
    <row r="73" spans="1:4" ht="15.75" customHeight="1" x14ac:dyDescent="0.25">
      <c r="A73" s="45" t="s">
        <v>803</v>
      </c>
      <c r="B73" s="46" t="s">
        <v>804</v>
      </c>
      <c r="C73" s="136"/>
      <c r="D73" s="28">
        <v>0</v>
      </c>
    </row>
    <row r="74" spans="1:4" ht="15.75" customHeight="1" x14ac:dyDescent="0.25">
      <c r="A74" s="45" t="s">
        <v>805</v>
      </c>
      <c r="B74" s="46" t="s">
        <v>778</v>
      </c>
      <c r="C74" s="136"/>
      <c r="D74" s="28">
        <v>0</v>
      </c>
    </row>
    <row r="75" spans="1:4" ht="15.75" customHeight="1" x14ac:dyDescent="0.25">
      <c r="A75" s="582" t="s">
        <v>752</v>
      </c>
      <c r="B75" s="572"/>
      <c r="C75" s="184"/>
      <c r="D75" s="185">
        <f>SUM(D62,D68,D72:D74)</f>
        <v>523.22259999999994</v>
      </c>
    </row>
    <row r="76" spans="1:4" ht="38.25" customHeight="1" x14ac:dyDescent="0.25">
      <c r="A76" s="583" t="s">
        <v>1102</v>
      </c>
      <c r="B76" s="586"/>
      <c r="C76" s="40"/>
      <c r="D76" s="41"/>
    </row>
    <row r="77" spans="1:4" ht="8.1" customHeight="1" x14ac:dyDescent="0.25">
      <c r="A77" s="125"/>
      <c r="B77" s="33"/>
      <c r="C77" s="140"/>
      <c r="D77" s="127"/>
    </row>
    <row r="78" spans="1:4" ht="15.75" customHeight="1" x14ac:dyDescent="0.25">
      <c r="A78" s="581" t="s">
        <v>806</v>
      </c>
      <c r="B78" s="572"/>
      <c r="C78" s="182"/>
      <c r="D78" s="183" t="s">
        <v>734</v>
      </c>
    </row>
    <row r="79" spans="1:4" ht="15.75" customHeight="1" x14ac:dyDescent="0.25">
      <c r="A79" s="45" t="s">
        <v>807</v>
      </c>
      <c r="B79" s="46" t="s">
        <v>808</v>
      </c>
      <c r="C79" s="136"/>
      <c r="D79" s="28">
        <f>D45</f>
        <v>288.78013290000001</v>
      </c>
    </row>
    <row r="80" spans="1:4" ht="15.75" customHeight="1" x14ac:dyDescent="0.25">
      <c r="A80" s="45" t="s">
        <v>809</v>
      </c>
      <c r="B80" s="46" t="s">
        <v>810</v>
      </c>
      <c r="C80" s="28"/>
      <c r="D80" s="28">
        <f>D58</f>
        <v>1127.1272968941998</v>
      </c>
    </row>
    <row r="81" spans="1:4" ht="15.75" customHeight="1" x14ac:dyDescent="0.25">
      <c r="A81" s="45" t="s">
        <v>811</v>
      </c>
      <c r="B81" s="46" t="s">
        <v>812</v>
      </c>
      <c r="C81" s="28"/>
      <c r="D81" s="28">
        <f>D75</f>
        <v>523.22259999999994</v>
      </c>
    </row>
    <row r="82" spans="1:4" ht="15.75" customHeight="1" thickBot="1" x14ac:dyDescent="0.3">
      <c r="A82" s="589" t="s">
        <v>752</v>
      </c>
      <c r="B82" s="590"/>
      <c r="C82" s="180"/>
      <c r="D82" s="181">
        <f>SUM(D79:D81)</f>
        <v>1939.1300297941998</v>
      </c>
    </row>
    <row r="83" spans="1:4" ht="8.1" customHeight="1" x14ac:dyDescent="0.25">
      <c r="A83" s="148"/>
      <c r="B83" s="149"/>
      <c r="C83" s="40"/>
      <c r="D83" s="41"/>
    </row>
    <row r="84" spans="1:4" ht="8.1" customHeight="1" thickBot="1" x14ac:dyDescent="0.3">
      <c r="A84" s="4"/>
      <c r="B84" s="1"/>
      <c r="C84" s="22"/>
      <c r="D84" s="6"/>
    </row>
    <row r="85" spans="1:4" ht="18" customHeight="1" x14ac:dyDescent="0.25">
      <c r="A85" s="591" t="s">
        <v>813</v>
      </c>
      <c r="B85" s="592"/>
      <c r="C85" s="12"/>
      <c r="D85" s="150" t="s">
        <v>734</v>
      </c>
    </row>
    <row r="86" spans="1:4" ht="15.75" customHeight="1" x14ac:dyDescent="0.25">
      <c r="A86" s="209" t="s">
        <v>814</v>
      </c>
      <c r="B86" s="210" t="s">
        <v>815</v>
      </c>
      <c r="C86" s="211">
        <v>0.05</v>
      </c>
      <c r="D86" s="212">
        <f>(D$33/$C$11)*C86*C89</f>
        <v>10.596658333333334</v>
      </c>
    </row>
    <row r="87" spans="1:4" ht="15.75" customHeight="1" x14ac:dyDescent="0.25">
      <c r="A87" s="209" t="s">
        <v>816</v>
      </c>
      <c r="B87" s="210" t="s">
        <v>817</v>
      </c>
      <c r="C87" s="211">
        <f>C56</f>
        <v>0.08</v>
      </c>
      <c r="D87" s="212">
        <f>D86*C87</f>
        <v>0.84773266666666669</v>
      </c>
    </row>
    <row r="88" spans="1:4" ht="15.75" customHeight="1" x14ac:dyDescent="0.25">
      <c r="A88" s="209" t="s">
        <v>818</v>
      </c>
      <c r="B88" s="210" t="s">
        <v>819</v>
      </c>
      <c r="C88" s="211">
        <v>0.04</v>
      </c>
      <c r="D88" s="212">
        <f>D$33*C88</f>
        <v>101.72792</v>
      </c>
    </row>
    <row r="89" spans="1:4" ht="15.75" customHeight="1" x14ac:dyDescent="0.25">
      <c r="A89" s="213" t="s">
        <v>820</v>
      </c>
      <c r="B89" s="214" t="s">
        <v>821</v>
      </c>
      <c r="C89" s="215">
        <v>1</v>
      </c>
      <c r="D89" s="216">
        <v>0</v>
      </c>
    </row>
    <row r="90" spans="1:4" ht="15.75" customHeight="1" x14ac:dyDescent="0.25">
      <c r="A90" s="18" t="s">
        <v>822</v>
      </c>
      <c r="B90" s="13" t="s">
        <v>823</v>
      </c>
      <c r="C90" s="15">
        <v>0.9</v>
      </c>
      <c r="D90" s="14">
        <f>(((D$33/30)*7)/12)*C90*C93</f>
        <v>44.505964999999996</v>
      </c>
    </row>
    <row r="91" spans="1:4" ht="15.75" customHeight="1" x14ac:dyDescent="0.25">
      <c r="A91" s="18" t="s">
        <v>820</v>
      </c>
      <c r="B91" s="13" t="s">
        <v>824</v>
      </c>
      <c r="C91" s="15">
        <f>C58</f>
        <v>0.39800000000000008</v>
      </c>
      <c r="D91" s="14">
        <f>D90*C91</f>
        <v>17.71337407</v>
      </c>
    </row>
    <row r="92" spans="1:4" ht="15.75" customHeight="1" x14ac:dyDescent="0.25">
      <c r="A92" s="18" t="s">
        <v>822</v>
      </c>
      <c r="B92" s="13" t="s">
        <v>825</v>
      </c>
      <c r="C92" s="17">
        <v>3.8080000000000003E-2</v>
      </c>
      <c r="D92" s="14">
        <f>D$33*C92</f>
        <v>96.844979840000008</v>
      </c>
    </row>
    <row r="93" spans="1:4" ht="15.75" customHeight="1" x14ac:dyDescent="0.25">
      <c r="A93" s="66" t="s">
        <v>826</v>
      </c>
      <c r="B93" s="34" t="s">
        <v>827</v>
      </c>
      <c r="C93" s="67">
        <v>1</v>
      </c>
      <c r="D93" s="35">
        <v>0</v>
      </c>
    </row>
    <row r="94" spans="1:4" ht="15.75" customHeight="1" thickBot="1" x14ac:dyDescent="0.3">
      <c r="A94" s="593" t="s">
        <v>752</v>
      </c>
      <c r="B94" s="594"/>
      <c r="C94" s="172"/>
      <c r="D94" s="173">
        <f>SUM(D86:D88,D90:D92)</f>
        <v>272.23662990999998</v>
      </c>
    </row>
    <row r="95" spans="1:4" ht="53.25" customHeight="1" x14ac:dyDescent="0.25">
      <c r="A95" s="577" t="s">
        <v>828</v>
      </c>
      <c r="B95" s="578"/>
      <c r="C95" s="3"/>
      <c r="D95" s="41"/>
    </row>
    <row r="96" spans="1:4" ht="15.95" customHeight="1" thickBot="1" x14ac:dyDescent="0.3">
      <c r="A96" s="4"/>
      <c r="B96" s="1"/>
      <c r="C96" s="22"/>
      <c r="D96" s="6"/>
    </row>
    <row r="97" spans="1:4" ht="18" customHeight="1" x14ac:dyDescent="0.25">
      <c r="A97" s="591" t="s">
        <v>829</v>
      </c>
      <c r="B97" s="592"/>
      <c r="C97" s="12"/>
      <c r="D97" s="150" t="s">
        <v>734</v>
      </c>
    </row>
    <row r="98" spans="1:4" ht="8.1" customHeight="1" x14ac:dyDescent="0.25">
      <c r="A98" s="7"/>
      <c r="C98" s="8"/>
      <c r="D98" s="127"/>
    </row>
    <row r="99" spans="1:4" ht="15.75" customHeight="1" x14ac:dyDescent="0.25">
      <c r="A99" s="587" t="s">
        <v>830</v>
      </c>
      <c r="B99" s="588"/>
      <c r="C99" s="151"/>
      <c r="D99" s="152">
        <f>SUM(D33,D45,D102)</f>
        <v>3062.7733513999997</v>
      </c>
    </row>
    <row r="100" spans="1:4" ht="8.1" customHeight="1" x14ac:dyDescent="0.25">
      <c r="A100" s="7"/>
      <c r="C100" s="8"/>
      <c r="D100" s="127"/>
    </row>
    <row r="101" spans="1:4" ht="15.75" customHeight="1" x14ac:dyDescent="0.25">
      <c r="A101" s="587" t="s">
        <v>831</v>
      </c>
      <c r="B101" s="588"/>
      <c r="C101" s="151"/>
      <c r="D101" s="152" t="s">
        <v>734</v>
      </c>
    </row>
    <row r="102" spans="1:4" ht="15.75" customHeight="1" x14ac:dyDescent="0.25">
      <c r="A102" s="18" t="s">
        <v>832</v>
      </c>
      <c r="B102" s="13" t="s">
        <v>833</v>
      </c>
      <c r="C102" s="17">
        <v>9.0749999999999997E-2</v>
      </c>
      <c r="D102" s="14">
        <f>D$33*C102</f>
        <v>230.79521849999998</v>
      </c>
    </row>
    <row r="103" spans="1:4" ht="15.75" customHeight="1" x14ac:dyDescent="0.25">
      <c r="A103" s="18" t="s">
        <v>834</v>
      </c>
      <c r="B103" s="13" t="s">
        <v>835</v>
      </c>
      <c r="C103" s="14">
        <v>1</v>
      </c>
      <c r="D103" s="14">
        <f>((D99/30)*C103)/12</f>
        <v>8.5077037538888884</v>
      </c>
    </row>
    <row r="104" spans="1:4" ht="15.75" customHeight="1" x14ac:dyDescent="0.25">
      <c r="A104" s="18" t="s">
        <v>836</v>
      </c>
      <c r="B104" s="13" t="s">
        <v>837</v>
      </c>
      <c r="C104" s="15">
        <v>1.4999999999999999E-2</v>
      </c>
      <c r="D104" s="14">
        <f>((D99/30)*5/12)*C104</f>
        <v>0.6380777815416665</v>
      </c>
    </row>
    <row r="105" spans="1:4" ht="15.75" customHeight="1" x14ac:dyDescent="0.25">
      <c r="A105" s="18" t="s">
        <v>838</v>
      </c>
      <c r="B105" s="13" t="s">
        <v>839</v>
      </c>
      <c r="C105" s="15">
        <v>7.7999999999999996E-3</v>
      </c>
      <c r="D105" s="14">
        <f>((D99/30)*15/12)*C105</f>
        <v>0.99540133920499985</v>
      </c>
    </row>
    <row r="106" spans="1:4" ht="15.75" customHeight="1" x14ac:dyDescent="0.25">
      <c r="A106" s="18" t="s">
        <v>840</v>
      </c>
      <c r="B106" s="13" t="s">
        <v>841</v>
      </c>
      <c r="C106" s="15">
        <v>0.02</v>
      </c>
      <c r="D106" s="14">
        <f>(((D33+(D33/3))/12)*(4/12))*C106</f>
        <v>1.8838503703703702</v>
      </c>
    </row>
    <row r="107" spans="1:4" ht="15.75" customHeight="1" x14ac:dyDescent="0.25">
      <c r="A107" s="18" t="s">
        <v>842</v>
      </c>
      <c r="B107" s="13" t="s">
        <v>843</v>
      </c>
      <c r="C107" s="14">
        <v>3</v>
      </c>
      <c r="D107" s="14">
        <f>((D99/30)*C107)/12</f>
        <v>25.523111261666667</v>
      </c>
    </row>
    <row r="108" spans="1:4" ht="15.75" customHeight="1" x14ac:dyDescent="0.25">
      <c r="A108" s="18" t="s">
        <v>844</v>
      </c>
      <c r="B108" s="13" t="s">
        <v>845</v>
      </c>
      <c r="C108" s="14"/>
      <c r="D108" s="14">
        <f>((D99/30)*C108)/12</f>
        <v>0</v>
      </c>
    </row>
    <row r="109" spans="1:4" ht="15.75" customHeight="1" x14ac:dyDescent="0.25">
      <c r="A109" s="595" t="s">
        <v>752</v>
      </c>
      <c r="B109" s="588"/>
      <c r="C109" s="175"/>
      <c r="D109" s="44">
        <f>SUM(D102:D107)</f>
        <v>268.34336300667252</v>
      </c>
    </row>
    <row r="110" spans="1:4" ht="15.75" customHeight="1" x14ac:dyDescent="0.25">
      <c r="A110" s="18" t="s">
        <v>846</v>
      </c>
      <c r="B110" s="13" t="s">
        <v>847</v>
      </c>
      <c r="C110" s="15">
        <f>C58</f>
        <v>0.39800000000000008</v>
      </c>
      <c r="D110" s="14">
        <f>D109*C110</f>
        <v>106.80065847665568</v>
      </c>
    </row>
    <row r="111" spans="1:4" ht="15.75" customHeight="1" x14ac:dyDescent="0.25">
      <c r="A111" s="596" t="s">
        <v>752</v>
      </c>
      <c r="B111" s="588"/>
      <c r="C111" s="179"/>
      <c r="D111" s="178">
        <f>SUM(D109:D110)</f>
        <v>375.14402148332817</v>
      </c>
    </row>
    <row r="112" spans="1:4" ht="61.5" customHeight="1" x14ac:dyDescent="0.25">
      <c r="A112" s="577" t="s">
        <v>848</v>
      </c>
      <c r="B112" s="578"/>
      <c r="C112" s="3"/>
      <c r="D112" s="41"/>
    </row>
    <row r="113" spans="1:4" ht="8.1" customHeight="1" x14ac:dyDescent="0.25">
      <c r="A113" s="125"/>
      <c r="B113" s="42"/>
      <c r="C113" s="140"/>
      <c r="D113" s="127"/>
    </row>
    <row r="114" spans="1:4" ht="15.75" customHeight="1" x14ac:dyDescent="0.25">
      <c r="A114" s="587" t="s">
        <v>849</v>
      </c>
      <c r="B114" s="588"/>
      <c r="C114" s="151"/>
      <c r="D114" s="152" t="s">
        <v>734</v>
      </c>
    </row>
    <row r="115" spans="1:4" ht="15.75" customHeight="1" x14ac:dyDescent="0.25">
      <c r="A115" s="18" t="s">
        <v>850</v>
      </c>
      <c r="B115" s="13" t="s">
        <v>851</v>
      </c>
      <c r="C115" s="14">
        <v>0</v>
      </c>
      <c r="D115" s="14">
        <f>((D$37+D$82)/C$28)*C115*C$18</f>
        <v>0</v>
      </c>
    </row>
    <row r="116" spans="1:4" ht="15.75" customHeight="1" x14ac:dyDescent="0.25">
      <c r="A116" s="18" t="s">
        <v>852</v>
      </c>
      <c r="B116" s="13" t="s">
        <v>853</v>
      </c>
      <c r="C116" s="15">
        <f>C58</f>
        <v>0.39800000000000008</v>
      </c>
      <c r="D116" s="14">
        <f>D115*C116</f>
        <v>0</v>
      </c>
    </row>
    <row r="117" spans="1:4" ht="15.75" customHeight="1" x14ac:dyDescent="0.25">
      <c r="A117" s="596" t="s">
        <v>752</v>
      </c>
      <c r="B117" s="588"/>
      <c r="C117" s="177"/>
      <c r="D117" s="178">
        <f>SUM(D115:D116)</f>
        <v>0</v>
      </c>
    </row>
    <row r="118" spans="1:4" ht="8.1" customHeight="1" x14ac:dyDescent="0.25">
      <c r="A118" s="577"/>
      <c r="B118" s="578"/>
      <c r="C118" s="3"/>
      <c r="D118" s="41"/>
    </row>
    <row r="119" spans="1:4" ht="8.1" customHeight="1" x14ac:dyDescent="0.25">
      <c r="A119" s="7"/>
      <c r="C119" s="20"/>
      <c r="D119" s="127"/>
    </row>
    <row r="120" spans="1:4" ht="15.75" customHeight="1" x14ac:dyDescent="0.25">
      <c r="A120" s="587" t="s">
        <v>854</v>
      </c>
      <c r="B120" s="588"/>
      <c r="C120" s="151"/>
      <c r="D120" s="152" t="s">
        <v>734</v>
      </c>
    </row>
    <row r="121" spans="1:4" ht="15.75" customHeight="1" x14ac:dyDescent="0.25">
      <c r="A121" s="18" t="s">
        <v>855</v>
      </c>
      <c r="B121" s="13" t="s">
        <v>856</v>
      </c>
      <c r="C121" s="15"/>
      <c r="D121" s="14">
        <f>D111</f>
        <v>375.14402148332817</v>
      </c>
    </row>
    <row r="122" spans="1:4" ht="15.75" customHeight="1" x14ac:dyDescent="0.25">
      <c r="A122" s="18" t="s">
        <v>857</v>
      </c>
      <c r="B122" s="13" t="s">
        <v>858</v>
      </c>
      <c r="C122" s="14"/>
      <c r="D122" s="14">
        <f>D117</f>
        <v>0</v>
      </c>
    </row>
    <row r="123" spans="1:4" ht="15.75" customHeight="1" thickBot="1" x14ac:dyDescent="0.3">
      <c r="A123" s="593" t="s">
        <v>752</v>
      </c>
      <c r="B123" s="594"/>
      <c r="C123" s="172"/>
      <c r="D123" s="173">
        <f>SUM(D121:D122)</f>
        <v>375.14402148332817</v>
      </c>
    </row>
    <row r="124" spans="1:4" ht="8.1" customHeight="1" x14ac:dyDescent="0.25">
      <c r="A124" s="153"/>
      <c r="B124" s="154"/>
      <c r="C124" s="155"/>
      <c r="D124" s="156"/>
    </row>
    <row r="125" spans="1:4" ht="8.1" customHeight="1" thickBot="1" x14ac:dyDescent="0.3">
      <c r="A125" s="125"/>
      <c r="B125" s="42"/>
      <c r="C125" s="140"/>
      <c r="D125" s="127"/>
    </row>
    <row r="126" spans="1:4" ht="18" customHeight="1" x14ac:dyDescent="0.25">
      <c r="A126" s="591" t="s">
        <v>859</v>
      </c>
      <c r="B126" s="592"/>
      <c r="C126" s="12"/>
      <c r="D126" s="150" t="s">
        <v>734</v>
      </c>
    </row>
    <row r="127" spans="1:4" ht="15.75" customHeight="1" x14ac:dyDescent="0.25">
      <c r="A127" s="174" t="s">
        <v>860</v>
      </c>
      <c r="B127" s="175" t="s">
        <v>861</v>
      </c>
      <c r="C127" s="176"/>
      <c r="D127" s="44">
        <f>tbUNIFORMESC[[#Totals],[VL. MENSAL]]</f>
        <v>197.39499999999998</v>
      </c>
    </row>
    <row r="128" spans="1:4" ht="15.75" customHeight="1" x14ac:dyDescent="0.25">
      <c r="A128" s="174" t="s">
        <v>862</v>
      </c>
      <c r="B128" s="175" t="s">
        <v>863</v>
      </c>
      <c r="C128" s="176"/>
      <c r="D128" s="44">
        <v>0</v>
      </c>
    </row>
    <row r="129" spans="1:4" ht="15.75" customHeight="1" x14ac:dyDescent="0.25">
      <c r="A129" s="174" t="s">
        <v>864</v>
      </c>
      <c r="B129" s="175" t="s">
        <v>865</v>
      </c>
      <c r="C129" s="176"/>
      <c r="D129" s="44">
        <v>0</v>
      </c>
    </row>
    <row r="130" spans="1:4" ht="15.75" customHeight="1" x14ac:dyDescent="0.25">
      <c r="A130" s="174" t="s">
        <v>866</v>
      </c>
      <c r="B130" s="175" t="s">
        <v>867</v>
      </c>
      <c r="C130" s="176"/>
      <c r="D130" s="44">
        <v>0</v>
      </c>
    </row>
    <row r="131" spans="1:4" ht="15.75" customHeight="1" thickBot="1" x14ac:dyDescent="0.3">
      <c r="A131" s="593" t="s">
        <v>752</v>
      </c>
      <c r="B131" s="594"/>
      <c r="C131" s="172"/>
      <c r="D131" s="173">
        <f>SUM(D127:D130)</f>
        <v>197.39499999999998</v>
      </c>
    </row>
    <row r="132" spans="1:4" ht="15.95" customHeight="1" thickBot="1" x14ac:dyDescent="0.3">
      <c r="A132" s="4"/>
      <c r="B132" s="1"/>
      <c r="C132" s="22"/>
      <c r="D132" s="6"/>
    </row>
    <row r="133" spans="1:4" ht="18" customHeight="1" x14ac:dyDescent="0.25">
      <c r="A133" s="591" t="s">
        <v>868</v>
      </c>
      <c r="B133" s="592"/>
      <c r="C133" s="12"/>
      <c r="D133" s="150" t="s">
        <v>734</v>
      </c>
    </row>
    <row r="134" spans="1:4" ht="8.1" customHeight="1" x14ac:dyDescent="0.25">
      <c r="A134" s="7"/>
      <c r="C134" s="8"/>
      <c r="D134" s="127"/>
    </row>
    <row r="135" spans="1:4" ht="15.75" customHeight="1" x14ac:dyDescent="0.25">
      <c r="A135" s="587" t="s">
        <v>869</v>
      </c>
      <c r="B135" s="588"/>
      <c r="C135" s="151"/>
      <c r="D135" s="152">
        <f>SUM(D37,D82,D94,D123,D131)</f>
        <v>5327.1036811875292</v>
      </c>
    </row>
    <row r="136" spans="1:4" ht="8.1" customHeight="1" x14ac:dyDescent="0.25">
      <c r="A136" s="7"/>
      <c r="C136" s="8"/>
      <c r="D136" s="127"/>
    </row>
    <row r="137" spans="1:4" ht="15.75" customHeight="1" x14ac:dyDescent="0.25">
      <c r="A137" s="66" t="s">
        <v>870</v>
      </c>
      <c r="B137" s="34" t="s">
        <v>871</v>
      </c>
      <c r="C137" s="67">
        <v>0.05</v>
      </c>
      <c r="D137" s="35">
        <f>D$135*C137</f>
        <v>266.35518405937648</v>
      </c>
    </row>
    <row r="138" spans="1:4" ht="15.75" customHeight="1" x14ac:dyDescent="0.25">
      <c r="A138" s="66" t="s">
        <v>872</v>
      </c>
      <c r="B138" s="34" t="s">
        <v>873</v>
      </c>
      <c r="C138" s="67">
        <v>0.1</v>
      </c>
      <c r="D138" s="35">
        <f>SUM(D135,D137)*C138</f>
        <v>559.34588652469063</v>
      </c>
    </row>
    <row r="139" spans="1:4" ht="8.1" customHeight="1" x14ac:dyDescent="0.25">
      <c r="A139" s="7"/>
      <c r="C139" s="8"/>
      <c r="D139" s="127"/>
    </row>
    <row r="140" spans="1:4" ht="15.75" customHeight="1" x14ac:dyDescent="0.25">
      <c r="A140" s="587" t="s">
        <v>874</v>
      </c>
      <c r="B140" s="588"/>
      <c r="C140" s="151"/>
      <c r="D140" s="152">
        <f>SUM(D135,D137:D138)</f>
        <v>6152.8047517715959</v>
      </c>
    </row>
    <row r="141" spans="1:4" ht="8.1" customHeight="1" x14ac:dyDescent="0.25">
      <c r="A141" s="7"/>
      <c r="C141" s="8"/>
      <c r="D141" s="127"/>
    </row>
    <row r="142" spans="1:4" ht="15.75" customHeight="1" x14ac:dyDescent="0.25">
      <c r="A142" s="18" t="s">
        <v>875</v>
      </c>
      <c r="B142" s="13" t="s">
        <v>876</v>
      </c>
      <c r="C142" s="19">
        <f>'DADOS CCT'!D21</f>
        <v>7.5999999999999998E-2</v>
      </c>
      <c r="D142" s="14">
        <f>(D$140/(1-C$146))*C142</f>
        <v>539.03534424742509</v>
      </c>
    </row>
    <row r="143" spans="1:4" ht="15.75" customHeight="1" x14ac:dyDescent="0.25">
      <c r="A143" s="18" t="s">
        <v>877</v>
      </c>
      <c r="B143" s="13" t="s">
        <v>878</v>
      </c>
      <c r="C143" s="19">
        <f>'DADOS CCT'!D20</f>
        <v>1.6500000000000001E-2</v>
      </c>
      <c r="D143" s="14">
        <f>(D$140/(1-C$146))*C143</f>
        <v>117.02741026424363</v>
      </c>
    </row>
    <row r="144" spans="1:4" ht="15.75" customHeight="1" x14ac:dyDescent="0.25">
      <c r="A144" s="18" t="s">
        <v>879</v>
      </c>
      <c r="B144" s="13" t="s">
        <v>880</v>
      </c>
      <c r="C144" s="15"/>
      <c r="D144" s="14">
        <f>(D$140/(1-C$146))*C144</f>
        <v>0</v>
      </c>
    </row>
    <row r="145" spans="1:4" ht="15.75" customHeight="1" x14ac:dyDescent="0.25">
      <c r="A145" s="18" t="s">
        <v>881</v>
      </c>
      <c r="B145" s="13" t="s">
        <v>882</v>
      </c>
      <c r="C145" s="19">
        <f>'DADOS CCT'!D19</f>
        <v>0.04</v>
      </c>
      <c r="D145" s="14">
        <f>(D$140/(1-C$146))*C145</f>
        <v>283.7028127618027</v>
      </c>
    </row>
    <row r="146" spans="1:4" ht="15.75" customHeight="1" thickBot="1" x14ac:dyDescent="0.3">
      <c r="A146" s="599" t="s">
        <v>752</v>
      </c>
      <c r="B146" s="600"/>
      <c r="C146" s="43">
        <f>SUM(C142:C145)</f>
        <v>0.13250000000000001</v>
      </c>
      <c r="D146" s="39">
        <f>SUM(D137:D138,D142:D145)</f>
        <v>1765.4666378575387</v>
      </c>
    </row>
    <row r="147" spans="1:4" ht="15.95" customHeight="1" thickBot="1" x14ac:dyDescent="0.3">
      <c r="A147" s="4"/>
      <c r="B147" s="1"/>
      <c r="C147" s="22"/>
      <c r="D147" s="6"/>
    </row>
    <row r="148" spans="1:4" ht="18" customHeight="1" x14ac:dyDescent="0.25">
      <c r="A148" s="601" t="s">
        <v>883</v>
      </c>
      <c r="B148" s="602"/>
      <c r="C148" s="170"/>
      <c r="D148" s="171" t="s">
        <v>734</v>
      </c>
    </row>
    <row r="149" spans="1:4" ht="15.75" customHeight="1" x14ac:dyDescent="0.25">
      <c r="A149" s="45"/>
      <c r="B149" s="46" t="s">
        <v>884</v>
      </c>
      <c r="C149" s="136"/>
      <c r="D149" s="28">
        <f>D37</f>
        <v>2543.1979999999999</v>
      </c>
    </row>
    <row r="150" spans="1:4" ht="15.75" customHeight="1" x14ac:dyDescent="0.25">
      <c r="A150" s="45"/>
      <c r="B150" s="46" t="s">
        <v>885</v>
      </c>
      <c r="C150" s="136"/>
      <c r="D150" s="28">
        <f>D82</f>
        <v>1939.1300297941998</v>
      </c>
    </row>
    <row r="151" spans="1:4" ht="15.75" customHeight="1" x14ac:dyDescent="0.25">
      <c r="A151" s="45"/>
      <c r="B151" s="46" t="s">
        <v>886</v>
      </c>
      <c r="C151" s="143"/>
      <c r="D151" s="28">
        <f>D94</f>
        <v>272.23662990999998</v>
      </c>
    </row>
    <row r="152" spans="1:4" ht="15.75" customHeight="1" x14ac:dyDescent="0.25">
      <c r="A152" s="45"/>
      <c r="B152" s="46" t="s">
        <v>887</v>
      </c>
      <c r="C152" s="136"/>
      <c r="D152" s="28">
        <f>D123</f>
        <v>375.14402148332817</v>
      </c>
    </row>
    <row r="153" spans="1:4" ht="15.75" customHeight="1" x14ac:dyDescent="0.25">
      <c r="A153" s="45"/>
      <c r="B153" s="46" t="s">
        <v>888</v>
      </c>
      <c r="C153" s="136"/>
      <c r="D153" s="28">
        <f>D131</f>
        <v>197.39499999999998</v>
      </c>
    </row>
    <row r="154" spans="1:4" ht="15.75" customHeight="1" x14ac:dyDescent="0.25">
      <c r="A154" s="585" t="s">
        <v>752</v>
      </c>
      <c r="B154" s="412"/>
      <c r="C154" s="137"/>
      <c r="D154" s="138">
        <f>SUM(D149:D153)</f>
        <v>5327.1036811875292</v>
      </c>
    </row>
    <row r="155" spans="1:4" ht="15.75" customHeight="1" x14ac:dyDescent="0.25">
      <c r="A155" s="45"/>
      <c r="B155" s="46" t="s">
        <v>889</v>
      </c>
      <c r="C155" s="143"/>
      <c r="D155" s="28">
        <f>D146</f>
        <v>1765.4666378575387</v>
      </c>
    </row>
    <row r="156" spans="1:4" ht="15.75" customHeight="1" thickBot="1" x14ac:dyDescent="0.35">
      <c r="A156" s="603" t="s">
        <v>890</v>
      </c>
      <c r="B156" s="604"/>
      <c r="C156" s="168"/>
      <c r="D156" s="169">
        <f>TRUNC(SUM(D154:D155),2)</f>
        <v>7092.57</v>
      </c>
    </row>
    <row r="157" spans="1:4" ht="8.1" customHeight="1" thickBot="1" x14ac:dyDescent="0.3">
      <c r="A157" s="9"/>
      <c r="B157" s="10"/>
      <c r="C157" s="21"/>
      <c r="D157" s="11"/>
    </row>
    <row r="158" spans="1:4" ht="15.75" customHeight="1" thickBot="1" x14ac:dyDescent="0.3">
      <c r="A158" s="605" t="s">
        <v>891</v>
      </c>
      <c r="B158" s="470"/>
      <c r="C158" s="166"/>
      <c r="D158" s="167">
        <v>1</v>
      </c>
    </row>
    <row r="159" spans="1:4" ht="8.1" customHeight="1" thickBot="1" x14ac:dyDescent="0.3">
      <c r="A159" s="9"/>
      <c r="B159" s="10"/>
      <c r="C159" s="21"/>
      <c r="D159" s="11"/>
    </row>
    <row r="160" spans="1:4" ht="15.75" customHeight="1" thickBot="1" x14ac:dyDescent="0.35">
      <c r="A160" s="597" t="s">
        <v>892</v>
      </c>
      <c r="B160" s="598"/>
      <c r="C160" s="164"/>
      <c r="D160" s="165">
        <f>TRUNC(D156*D158,2)</f>
        <v>7092.57</v>
      </c>
    </row>
    <row r="161" spans="1:4" ht="15.95" customHeight="1" thickBot="1" x14ac:dyDescent="0.3"/>
    <row r="162" spans="1:4" ht="15.75" customHeight="1" thickBot="1" x14ac:dyDescent="0.35">
      <c r="A162" s="561" t="s">
        <v>893</v>
      </c>
      <c r="B162" s="562"/>
      <c r="C162" s="162"/>
      <c r="D162" s="163">
        <f>D156/D37</f>
        <v>2.7888390915689616</v>
      </c>
    </row>
    <row r="163" spans="1:4" ht="15.95" customHeight="1" thickBot="1" x14ac:dyDescent="0.3">
      <c r="A163" s="33"/>
      <c r="B163" s="33"/>
      <c r="C163" s="33"/>
    </row>
    <row r="164" spans="1:4" ht="15.75" customHeight="1" x14ac:dyDescent="0.3">
      <c r="A164" s="551" t="s">
        <v>894</v>
      </c>
      <c r="B164" s="551"/>
      <c r="C164" s="160"/>
      <c r="D164" s="161"/>
    </row>
    <row r="165" spans="1:4" ht="15" customHeight="1" thickBot="1" x14ac:dyDescent="0.3">
      <c r="A165" s="157"/>
      <c r="B165" s="157" t="s">
        <v>895</v>
      </c>
      <c r="C165" s="157"/>
      <c r="D165" s="158">
        <f>TRUNC(D156/C$18,2)</f>
        <v>337.74</v>
      </c>
    </row>
  </sheetData>
  <mergeCells count="65">
    <mergeCell ref="A156:B156"/>
    <mergeCell ref="A158:B158"/>
    <mergeCell ref="A160:B160"/>
    <mergeCell ref="A162:B162"/>
    <mergeCell ref="A164:B164"/>
    <mergeCell ref="A154:B154"/>
    <mergeCell ref="A117:B117"/>
    <mergeCell ref="A118:B118"/>
    <mergeCell ref="A120:B120"/>
    <mergeCell ref="A123:B123"/>
    <mergeCell ref="A126:B126"/>
    <mergeCell ref="A131:B131"/>
    <mergeCell ref="A133:B133"/>
    <mergeCell ref="A135:B135"/>
    <mergeCell ref="A140:B140"/>
    <mergeCell ref="A146:B146"/>
    <mergeCell ref="A148:B148"/>
    <mergeCell ref="A114:B114"/>
    <mergeCell ref="A78:B78"/>
    <mergeCell ref="A82:B82"/>
    <mergeCell ref="A85:B85"/>
    <mergeCell ref="A94:B94"/>
    <mergeCell ref="A95:B95"/>
    <mergeCell ref="A97:B97"/>
    <mergeCell ref="A99:B99"/>
    <mergeCell ref="A101:B101"/>
    <mergeCell ref="A109:B109"/>
    <mergeCell ref="A111:B111"/>
    <mergeCell ref="A112:B112"/>
    <mergeCell ref="A76:B76"/>
    <mergeCell ref="A37:B37"/>
    <mergeCell ref="A38:B38"/>
    <mergeCell ref="A40:B40"/>
    <mergeCell ref="A42:B42"/>
    <mergeCell ref="A45:B45"/>
    <mergeCell ref="A46:B46"/>
    <mergeCell ref="A48:B48"/>
    <mergeCell ref="A58:B58"/>
    <mergeCell ref="A59:B59"/>
    <mergeCell ref="A61:B61"/>
    <mergeCell ref="A75:B75"/>
    <mergeCell ref="A33:B33"/>
    <mergeCell ref="C16:D16"/>
    <mergeCell ref="C17:D17"/>
    <mergeCell ref="C18:D18"/>
    <mergeCell ref="C19:D19"/>
    <mergeCell ref="C20:D20"/>
    <mergeCell ref="C21:D21"/>
    <mergeCell ref="C22:D22"/>
    <mergeCell ref="C23:D23"/>
    <mergeCell ref="A25:B25"/>
    <mergeCell ref="C25:D25"/>
    <mergeCell ref="A27:B27"/>
    <mergeCell ref="C15:D15"/>
    <mergeCell ref="C3:D3"/>
    <mergeCell ref="C4:D4"/>
    <mergeCell ref="C5:D5"/>
    <mergeCell ref="A7:B7"/>
    <mergeCell ref="C8:D8"/>
    <mergeCell ref="C9:D9"/>
    <mergeCell ref="C10:D10"/>
    <mergeCell ref="C11:D11"/>
    <mergeCell ref="C12:D12"/>
    <mergeCell ref="C13:D13"/>
    <mergeCell ref="C14:D14"/>
  </mergeCells>
  <pageMargins left="0.70866141732283472" right="0.70866141732283472" top="0.74803149606299213" bottom="0.74803149606299213" header="0" footer="0"/>
  <pageSetup paperSize="9" scale="80" fitToHeight="0" orientation="portrait" r:id="rId1"/>
  <rowBreaks count="4" manualBreakCount="4">
    <brk id="38" max="3" man="1"/>
    <brk id="83" max="3" man="1"/>
    <brk id="90" max="16383" man="1"/>
    <brk id="124" max="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5B72E-54F2-41E3-BB00-FA63AC55DBFC}">
  <sheetPr>
    <tabColor theme="5" tint="-0.249977111117893"/>
    <outlinePr summaryBelow="0"/>
    <pageSetUpPr fitToPage="1"/>
  </sheetPr>
  <dimension ref="A1:D165"/>
  <sheetViews>
    <sheetView workbookViewId="0"/>
  </sheetViews>
  <sheetFormatPr defaultColWidth="14.42578125" defaultRowHeight="15" customHeight="1" x14ac:dyDescent="0.25"/>
  <cols>
    <col min="1" max="1" width="6.7109375" customWidth="1"/>
    <col min="2" max="2" width="64.7109375" customWidth="1"/>
    <col min="3" max="3" width="18.7109375" customWidth="1"/>
    <col min="4" max="4" width="18.7109375" style="33" customWidth="1"/>
    <col min="5" max="16384" width="14.42578125" style="159"/>
  </cols>
  <sheetData>
    <row r="1" spans="1:4" ht="40.5" customHeight="1" x14ac:dyDescent="0.25">
      <c r="A1" s="38"/>
      <c r="B1" s="313" t="s">
        <v>692</v>
      </c>
      <c r="C1" s="37"/>
      <c r="D1" s="37"/>
    </row>
    <row r="2" spans="1:4" ht="15.95" customHeight="1" thickBot="1" x14ac:dyDescent="0.3">
      <c r="A2" s="125"/>
      <c r="B2" s="42"/>
      <c r="C2" s="126"/>
      <c r="D2" s="127"/>
    </row>
    <row r="3" spans="1:4" ht="15" customHeight="1" x14ac:dyDescent="0.25">
      <c r="A3" s="192"/>
      <c r="B3" s="314" t="s">
        <v>693</v>
      </c>
      <c r="C3" s="552"/>
      <c r="D3" s="552"/>
    </row>
    <row r="4" spans="1:4" ht="15" customHeight="1" x14ac:dyDescent="0.25">
      <c r="A4" s="193"/>
      <c r="B4" s="274" t="s">
        <v>694</v>
      </c>
      <c r="C4" s="553"/>
      <c r="D4" s="553"/>
    </row>
    <row r="5" spans="1:4" ht="15.75" customHeight="1" thickBot="1" x14ac:dyDescent="0.3">
      <c r="A5" s="194"/>
      <c r="B5" s="195" t="s">
        <v>695</v>
      </c>
      <c r="C5" s="554"/>
      <c r="D5" s="554"/>
    </row>
    <row r="6" spans="1:4" ht="15.95" customHeight="1" thickBot="1" x14ac:dyDescent="0.3">
      <c r="A6" s="125"/>
      <c r="B6" s="42"/>
      <c r="C6" s="126"/>
      <c r="D6" s="127"/>
    </row>
    <row r="7" spans="1:4" ht="15" customHeight="1" x14ac:dyDescent="0.25">
      <c r="A7" s="563" t="s">
        <v>696</v>
      </c>
      <c r="B7" s="564"/>
      <c r="C7" s="128"/>
      <c r="D7" s="129"/>
    </row>
    <row r="8" spans="1:4" ht="15" customHeight="1" x14ac:dyDescent="0.25">
      <c r="A8" s="45" t="s">
        <v>697</v>
      </c>
      <c r="B8" s="263" t="s">
        <v>698</v>
      </c>
      <c r="C8" s="555"/>
      <c r="D8" s="555"/>
    </row>
    <row r="9" spans="1:4" ht="15" customHeight="1" x14ac:dyDescent="0.25">
      <c r="A9" s="45" t="s">
        <v>699</v>
      </c>
      <c r="B9" s="263" t="s">
        <v>700</v>
      </c>
      <c r="C9" s="555" t="str">
        <f>'DADOS CCT'!B4</f>
        <v>SANTA MARIA</v>
      </c>
      <c r="D9" s="555"/>
    </row>
    <row r="10" spans="1:4" ht="15" customHeight="1" x14ac:dyDescent="0.25">
      <c r="A10" s="45" t="s">
        <v>701</v>
      </c>
      <c r="B10" s="263" t="s">
        <v>702</v>
      </c>
      <c r="C10" s="555" t="str">
        <f>'DADOS CCT'!C4&amp;" - "&amp;'DADOS CCT'!D5</f>
        <v>SINTEPS/RS - RS000042/2024</v>
      </c>
      <c r="D10" s="555"/>
    </row>
    <row r="11" spans="1:4" ht="15" customHeight="1" x14ac:dyDescent="0.25">
      <c r="A11" s="45" t="s">
        <v>703</v>
      </c>
      <c r="B11" s="263" t="s">
        <v>704</v>
      </c>
      <c r="C11" s="556">
        <v>12</v>
      </c>
      <c r="D11" s="556"/>
    </row>
    <row r="12" spans="1:4" ht="15" customHeight="1" x14ac:dyDescent="0.25">
      <c r="A12" s="45" t="s">
        <v>705</v>
      </c>
      <c r="B12" s="263" t="s">
        <v>706</v>
      </c>
      <c r="C12" s="557">
        <f>'DADOS CCT'!D6</f>
        <v>45292</v>
      </c>
      <c r="D12" s="557"/>
    </row>
    <row r="13" spans="1:4" ht="45.75" customHeight="1" x14ac:dyDescent="0.25">
      <c r="A13" s="45" t="s">
        <v>707</v>
      </c>
      <c r="B13" s="315" t="s">
        <v>708</v>
      </c>
      <c r="C13" s="558" t="s">
        <v>901</v>
      </c>
      <c r="D13" s="558"/>
    </row>
    <row r="14" spans="1:4" x14ac:dyDescent="0.25">
      <c r="A14" s="130" t="s">
        <v>710</v>
      </c>
      <c r="B14" s="131" t="s">
        <v>711</v>
      </c>
      <c r="C14" s="559" t="s">
        <v>904</v>
      </c>
      <c r="D14" s="559"/>
    </row>
    <row r="15" spans="1:4" x14ac:dyDescent="0.25">
      <c r="A15" s="130" t="s">
        <v>713</v>
      </c>
      <c r="B15" s="131" t="s">
        <v>714</v>
      </c>
      <c r="C15" s="559" t="s">
        <v>905</v>
      </c>
      <c r="D15" s="559"/>
    </row>
    <row r="16" spans="1:4" x14ac:dyDescent="0.25">
      <c r="A16" s="130" t="s">
        <v>716</v>
      </c>
      <c r="B16" s="131" t="s">
        <v>717</v>
      </c>
      <c r="C16" s="559" t="str">
        <f ca="1">RIGHT(CELL("nome.arquivo",A1),LEN(CELL("nome.arquivo",A1))-SEARCH("]",CELL("nome.arquivo",A1)))</f>
        <v>5142-30 COL.RS 5x2 DIURNO SM</v>
      </c>
      <c r="D16" s="559"/>
    </row>
    <row r="17" spans="1:4" x14ac:dyDescent="0.25">
      <c r="A17" s="130" t="s">
        <v>718</v>
      </c>
      <c r="B17" s="131" t="s">
        <v>719</v>
      </c>
      <c r="C17" s="560" t="s">
        <v>1196</v>
      </c>
      <c r="D17" s="560"/>
    </row>
    <row r="18" spans="1:4" x14ac:dyDescent="0.25">
      <c r="A18" s="130" t="s">
        <v>721</v>
      </c>
      <c r="B18" s="131" t="s">
        <v>722</v>
      </c>
      <c r="C18" s="560">
        <v>21</v>
      </c>
      <c r="D18" s="560"/>
    </row>
    <row r="19" spans="1:4" ht="15.75" customHeight="1" x14ac:dyDescent="0.25">
      <c r="A19" s="130" t="s">
        <v>723</v>
      </c>
      <c r="B19" s="131" t="s">
        <v>724</v>
      </c>
      <c r="C19" s="560">
        <f>'DADOS CCT'!D9</f>
        <v>1816.57</v>
      </c>
      <c r="D19" s="560"/>
    </row>
    <row r="20" spans="1:4" ht="15.75" customHeight="1" x14ac:dyDescent="0.25">
      <c r="A20" s="130" t="s">
        <v>725</v>
      </c>
      <c r="B20" s="132" t="s">
        <v>726</v>
      </c>
      <c r="C20" s="573">
        <f>C19/220</f>
        <v>8.2571363636363628</v>
      </c>
      <c r="D20" s="573"/>
    </row>
    <row r="21" spans="1:4" ht="15.75" customHeight="1" x14ac:dyDescent="0.25">
      <c r="A21" s="130" t="s">
        <v>727</v>
      </c>
      <c r="B21" s="132" t="s">
        <v>728</v>
      </c>
      <c r="C21" s="573">
        <f>C20*1.5</f>
        <v>12.385704545454544</v>
      </c>
      <c r="D21" s="573"/>
    </row>
    <row r="22" spans="1:4" ht="15.75" customHeight="1" x14ac:dyDescent="0.25">
      <c r="A22" s="130" t="s">
        <v>729</v>
      </c>
      <c r="B22" s="132" t="s">
        <v>730</v>
      </c>
      <c r="C22" s="573">
        <f>C20*2</f>
        <v>16.514272727272726</v>
      </c>
      <c r="D22" s="573"/>
    </row>
    <row r="23" spans="1:4" ht="15.75" customHeight="1" thickBot="1" x14ac:dyDescent="0.3">
      <c r="A23" s="133" t="s">
        <v>731</v>
      </c>
      <c r="B23" s="134" t="s">
        <v>732</v>
      </c>
      <c r="C23" s="574">
        <f>C20*0.2</f>
        <v>1.6514272727272727</v>
      </c>
      <c r="D23" s="574"/>
    </row>
    <row r="24" spans="1:4" ht="15.95" customHeight="1" thickBot="1" x14ac:dyDescent="0.3">
      <c r="A24" s="125"/>
      <c r="B24" s="42"/>
      <c r="C24" s="126"/>
      <c r="D24" s="127"/>
    </row>
    <row r="25" spans="1:4" ht="15.75" thickBot="1" x14ac:dyDescent="0.3">
      <c r="A25" s="565"/>
      <c r="B25" s="566"/>
      <c r="C25" s="567" t="str">
        <f>'DADOS CCT'!D3</f>
        <v>00 - VALOR ESTIMADO</v>
      </c>
      <c r="D25" s="568"/>
    </row>
    <row r="26" spans="1:4" ht="6" customHeight="1" thickBot="1" x14ac:dyDescent="0.3">
      <c r="A26" s="4"/>
      <c r="B26" s="1"/>
      <c r="C26" s="5"/>
      <c r="D26" s="6"/>
    </row>
    <row r="27" spans="1:4" ht="18" customHeight="1" x14ac:dyDescent="0.25">
      <c r="A27" s="569" t="s">
        <v>733</v>
      </c>
      <c r="B27" s="570"/>
      <c r="C27" s="190"/>
      <c r="D27" s="191" t="s">
        <v>734</v>
      </c>
    </row>
    <row r="28" spans="1:4" ht="15.75" customHeight="1" x14ac:dyDescent="0.25">
      <c r="A28" s="45" t="s">
        <v>735</v>
      </c>
      <c r="B28" s="46" t="s">
        <v>736</v>
      </c>
      <c r="C28" s="135">
        <v>220</v>
      </c>
      <c r="D28" s="28">
        <f>C28*C19/220</f>
        <v>1816.57</v>
      </c>
    </row>
    <row r="29" spans="1:4" ht="15.75" customHeight="1" x14ac:dyDescent="0.25">
      <c r="A29" s="45" t="s">
        <v>737</v>
      </c>
      <c r="B29" s="46" t="s">
        <v>738</v>
      </c>
      <c r="C29" s="136"/>
      <c r="D29" s="28">
        <f>D$28*C29</f>
        <v>0</v>
      </c>
    </row>
    <row r="30" spans="1:4" ht="15.75" customHeight="1" x14ac:dyDescent="0.25">
      <c r="A30" s="45" t="s">
        <v>739</v>
      </c>
      <c r="B30" s="46" t="s">
        <v>740</v>
      </c>
      <c r="C30" s="136">
        <v>0.4</v>
      </c>
      <c r="D30" s="208">
        <f>C30*C19</f>
        <v>726.62800000000004</v>
      </c>
    </row>
    <row r="31" spans="1:4" ht="15.75" customHeight="1" x14ac:dyDescent="0.25">
      <c r="A31" s="45" t="s">
        <v>741</v>
      </c>
      <c r="B31" s="46" t="s">
        <v>742</v>
      </c>
      <c r="C31" s="28"/>
      <c r="D31" s="28">
        <f>(D28/C28)*0.2*C31*(60/52.5)</f>
        <v>0</v>
      </c>
    </row>
    <row r="32" spans="1:4" ht="15.75" customHeight="1" x14ac:dyDescent="0.25">
      <c r="A32" s="45" t="s">
        <v>743</v>
      </c>
      <c r="B32" s="46" t="s">
        <v>744</v>
      </c>
      <c r="C32" s="28"/>
      <c r="D32" s="28">
        <f>(D28/C28)*1.5*C32</f>
        <v>0</v>
      </c>
    </row>
    <row r="33" spans="1:4" ht="15.75" customHeight="1" x14ac:dyDescent="0.25">
      <c r="A33" s="571" t="s">
        <v>745</v>
      </c>
      <c r="B33" s="572"/>
      <c r="C33" s="184"/>
      <c r="D33" s="185">
        <f>SUM(D28:D32)</f>
        <v>2543.1979999999999</v>
      </c>
    </row>
    <row r="34" spans="1:4" ht="15.75" customHeight="1" x14ac:dyDescent="0.25">
      <c r="A34" s="45" t="s">
        <v>746</v>
      </c>
      <c r="B34" s="46" t="s">
        <v>747</v>
      </c>
      <c r="C34" s="28"/>
      <c r="D34" s="28">
        <f>15*C34*(D28/C28)*1.5</f>
        <v>0</v>
      </c>
    </row>
    <row r="35" spans="1:4" ht="15.75" customHeight="1" x14ac:dyDescent="0.25">
      <c r="A35" s="45" t="s">
        <v>748</v>
      </c>
      <c r="B35" s="46" t="s">
        <v>749</v>
      </c>
      <c r="C35" s="139">
        <f>'DADOS CCT'!D12</f>
        <v>0</v>
      </c>
      <c r="D35" s="28">
        <f>D28*C35</f>
        <v>0</v>
      </c>
    </row>
    <row r="36" spans="1:4" ht="15.75" customHeight="1" x14ac:dyDescent="0.25">
      <c r="A36" s="45" t="s">
        <v>750</v>
      </c>
      <c r="B36" s="46" t="s">
        <v>751</v>
      </c>
      <c r="C36" s="136"/>
      <c r="D36" s="28">
        <f>D$28*C36</f>
        <v>0</v>
      </c>
    </row>
    <row r="37" spans="1:4" ht="15.75" customHeight="1" thickBot="1" x14ac:dyDescent="0.3">
      <c r="A37" s="575" t="s">
        <v>752</v>
      </c>
      <c r="B37" s="576"/>
      <c r="C37" s="188"/>
      <c r="D37" s="189">
        <f>SUM(D33:D36)</f>
        <v>2543.1979999999999</v>
      </c>
    </row>
    <row r="38" spans="1:4" ht="24" customHeight="1" x14ac:dyDescent="0.25">
      <c r="A38" s="577" t="s">
        <v>1233</v>
      </c>
      <c r="B38" s="578"/>
      <c r="C38" s="8"/>
      <c r="D38" s="127"/>
    </row>
    <row r="39" spans="1:4" ht="8.1" customHeight="1" thickBot="1" x14ac:dyDescent="0.3">
      <c r="A39" s="7"/>
      <c r="B39" s="16"/>
      <c r="C39" s="8"/>
      <c r="D39" s="127"/>
    </row>
    <row r="40" spans="1:4" ht="18" customHeight="1" x14ac:dyDescent="0.25">
      <c r="A40" s="579" t="s">
        <v>753</v>
      </c>
      <c r="B40" s="580"/>
      <c r="C40" s="142"/>
      <c r="D40" s="187"/>
    </row>
    <row r="41" spans="1:4" ht="6" customHeight="1" x14ac:dyDescent="0.25">
      <c r="A41" s="125"/>
      <c r="B41" s="42"/>
      <c r="C41" s="126"/>
      <c r="D41" s="127"/>
    </row>
    <row r="42" spans="1:4" ht="15.75" customHeight="1" x14ac:dyDescent="0.25">
      <c r="A42" s="581" t="s">
        <v>754</v>
      </c>
      <c r="B42" s="572"/>
      <c r="C42" s="182"/>
      <c r="D42" s="183" t="s">
        <v>734</v>
      </c>
    </row>
    <row r="43" spans="1:4" ht="15" customHeight="1" x14ac:dyDescent="0.25">
      <c r="A43" s="45" t="s">
        <v>755</v>
      </c>
      <c r="B43" s="46" t="s">
        <v>756</v>
      </c>
      <c r="C43" s="136">
        <v>8.3299999999999999E-2</v>
      </c>
      <c r="D43" s="28">
        <f>D$33*C43</f>
        <v>211.84839339999999</v>
      </c>
    </row>
    <row r="44" spans="1:4" ht="15" customHeight="1" x14ac:dyDescent="0.25">
      <c r="A44" s="45" t="s">
        <v>757</v>
      </c>
      <c r="B44" s="46" t="s">
        <v>758</v>
      </c>
      <c r="C44" s="143">
        <v>3.0249999999999999E-2</v>
      </c>
      <c r="D44" s="28">
        <f>D$33*C44</f>
        <v>76.931739499999992</v>
      </c>
    </row>
    <row r="45" spans="1:4" ht="15.75" customHeight="1" x14ac:dyDescent="0.25">
      <c r="A45" s="582" t="s">
        <v>752</v>
      </c>
      <c r="B45" s="572"/>
      <c r="C45" s="186"/>
      <c r="D45" s="185">
        <f>SUM(D43:D44)</f>
        <v>288.78013290000001</v>
      </c>
    </row>
    <row r="46" spans="1:4" ht="37.5" customHeight="1" x14ac:dyDescent="0.25">
      <c r="A46" s="583" t="s">
        <v>759</v>
      </c>
      <c r="B46" s="584"/>
      <c r="C46" s="141"/>
      <c r="D46" s="41"/>
    </row>
    <row r="47" spans="1:4" ht="8.1" customHeight="1" x14ac:dyDescent="0.25">
      <c r="A47" s="125"/>
      <c r="B47" s="33"/>
      <c r="C47" s="126"/>
      <c r="D47" s="127"/>
    </row>
    <row r="48" spans="1:4" ht="15.75" customHeight="1" x14ac:dyDescent="0.25">
      <c r="A48" s="581" t="s">
        <v>760</v>
      </c>
      <c r="B48" s="572"/>
      <c r="C48" s="182"/>
      <c r="D48" s="183" t="s">
        <v>734</v>
      </c>
    </row>
    <row r="49" spans="1:4" ht="15" customHeight="1" x14ac:dyDescent="0.25">
      <c r="A49" s="45" t="s">
        <v>761</v>
      </c>
      <c r="B49" s="46" t="s">
        <v>762</v>
      </c>
      <c r="C49" s="136">
        <v>0.2</v>
      </c>
      <c r="D49" s="28">
        <f t="shared" ref="D49:D57" si="0">(D$33+D$45)*C49</f>
        <v>566.39562658</v>
      </c>
    </row>
    <row r="50" spans="1:4" ht="15" customHeight="1" x14ac:dyDescent="0.25">
      <c r="A50" s="45" t="s">
        <v>763</v>
      </c>
      <c r="B50" s="46" t="s">
        <v>764</v>
      </c>
      <c r="C50" s="136">
        <v>2.5000000000000001E-2</v>
      </c>
      <c r="D50" s="28">
        <f t="shared" si="0"/>
        <v>70.7994533225</v>
      </c>
    </row>
    <row r="51" spans="1:4" ht="15" customHeight="1" x14ac:dyDescent="0.25">
      <c r="A51" s="45" t="s">
        <v>765</v>
      </c>
      <c r="B51" s="46" t="s">
        <v>766</v>
      </c>
      <c r="C51" s="144">
        <f>'DADOS CCT'!D$22*'DADOS CCT'!D$23</f>
        <v>0.06</v>
      </c>
      <c r="D51" s="28">
        <f t="shared" si="0"/>
        <v>169.91868797399997</v>
      </c>
    </row>
    <row r="52" spans="1:4" ht="15" customHeight="1" x14ac:dyDescent="0.25">
      <c r="A52" s="45" t="s">
        <v>767</v>
      </c>
      <c r="B52" s="46" t="s">
        <v>768</v>
      </c>
      <c r="C52" s="136">
        <v>1.4999999999999999E-2</v>
      </c>
      <c r="D52" s="28">
        <f t="shared" si="0"/>
        <v>42.479671993499991</v>
      </c>
    </row>
    <row r="53" spans="1:4" ht="15" customHeight="1" x14ac:dyDescent="0.25">
      <c r="A53" s="45" t="s">
        <v>769</v>
      </c>
      <c r="B53" s="46" t="s">
        <v>770</v>
      </c>
      <c r="C53" s="136">
        <v>0.01</v>
      </c>
      <c r="D53" s="28">
        <f t="shared" si="0"/>
        <v>28.319781328999998</v>
      </c>
    </row>
    <row r="54" spans="1:4" ht="15" customHeight="1" x14ac:dyDescent="0.25">
      <c r="A54" s="45" t="s">
        <v>771</v>
      </c>
      <c r="B54" s="46" t="s">
        <v>772</v>
      </c>
      <c r="C54" s="136">
        <v>6.0000000000000001E-3</v>
      </c>
      <c r="D54" s="28">
        <f t="shared" si="0"/>
        <v>16.991868797399999</v>
      </c>
    </row>
    <row r="55" spans="1:4" ht="15" customHeight="1" x14ac:dyDescent="0.25">
      <c r="A55" s="45" t="s">
        <v>773</v>
      </c>
      <c r="B55" s="46" t="s">
        <v>774</v>
      </c>
      <c r="C55" s="136">
        <v>2E-3</v>
      </c>
      <c r="D55" s="28">
        <f t="shared" si="0"/>
        <v>5.6639562657999996</v>
      </c>
    </row>
    <row r="56" spans="1:4" ht="15" customHeight="1" x14ac:dyDescent="0.25">
      <c r="A56" s="45" t="s">
        <v>775</v>
      </c>
      <c r="B56" s="46" t="s">
        <v>776</v>
      </c>
      <c r="C56" s="136">
        <v>0.08</v>
      </c>
      <c r="D56" s="28">
        <f t="shared" si="0"/>
        <v>226.55825063199998</v>
      </c>
    </row>
    <row r="57" spans="1:4" ht="15" customHeight="1" x14ac:dyDescent="0.25">
      <c r="A57" s="45" t="s">
        <v>777</v>
      </c>
      <c r="B57" s="46" t="s">
        <v>778</v>
      </c>
      <c r="C57" s="136"/>
      <c r="D57" s="28">
        <f t="shared" si="0"/>
        <v>0</v>
      </c>
    </row>
    <row r="58" spans="1:4" ht="15.75" customHeight="1" x14ac:dyDescent="0.25">
      <c r="A58" s="585" t="s">
        <v>752</v>
      </c>
      <c r="B58" s="412"/>
      <c r="C58" s="137">
        <f>SUM(C49:C50,C51:C57)</f>
        <v>0.39800000000000008</v>
      </c>
      <c r="D58" s="138">
        <f>SUM(D49:D57)</f>
        <v>1127.1272968941998</v>
      </c>
    </row>
    <row r="59" spans="1:4" ht="20.25" customHeight="1" x14ac:dyDescent="0.25">
      <c r="A59" s="583" t="s">
        <v>779</v>
      </c>
      <c r="B59" s="586"/>
      <c r="C59" s="141"/>
      <c r="D59" s="41"/>
    </row>
    <row r="60" spans="1:4" ht="8.1" customHeight="1" x14ac:dyDescent="0.25">
      <c r="A60" s="125"/>
      <c r="B60" s="33"/>
      <c r="C60" s="140"/>
      <c r="D60" s="127"/>
    </row>
    <row r="61" spans="1:4" ht="15.75" customHeight="1" x14ac:dyDescent="0.25">
      <c r="A61" s="581" t="s">
        <v>780</v>
      </c>
      <c r="B61" s="572"/>
      <c r="C61" s="182"/>
      <c r="D61" s="183" t="s">
        <v>734</v>
      </c>
    </row>
    <row r="62" spans="1:4" ht="15.75" customHeight="1" x14ac:dyDescent="0.25">
      <c r="A62" s="45" t="s">
        <v>781</v>
      </c>
      <c r="B62" s="46" t="s">
        <v>782</v>
      </c>
      <c r="C62" s="145"/>
      <c r="D62" s="138">
        <f>((C63*C64*C65)-D66)*C67</f>
        <v>101.00580000000001</v>
      </c>
    </row>
    <row r="63" spans="1:4" ht="15.75" customHeight="1" x14ac:dyDescent="0.25">
      <c r="A63" s="45" t="s">
        <v>783</v>
      </c>
      <c r="B63" s="46" t="s">
        <v>784</v>
      </c>
      <c r="C63" s="146">
        <f>'DADOS CCT'!D13</f>
        <v>5</v>
      </c>
      <c r="D63" s="28">
        <v>0</v>
      </c>
    </row>
    <row r="64" spans="1:4" ht="15.75" customHeight="1" x14ac:dyDescent="0.25">
      <c r="A64" s="45" t="s">
        <v>785</v>
      </c>
      <c r="B64" s="46" t="s">
        <v>786</v>
      </c>
      <c r="C64" s="28">
        <v>2</v>
      </c>
      <c r="D64" s="28">
        <v>0</v>
      </c>
    </row>
    <row r="65" spans="1:4" ht="15.75" customHeight="1" x14ac:dyDescent="0.25">
      <c r="A65" s="45" t="s">
        <v>787</v>
      </c>
      <c r="B65" s="46" t="s">
        <v>788</v>
      </c>
      <c r="C65" s="147">
        <f>C$18</f>
        <v>21</v>
      </c>
      <c r="D65" s="28">
        <v>0</v>
      </c>
    </row>
    <row r="66" spans="1:4" ht="15.75" customHeight="1" x14ac:dyDescent="0.25">
      <c r="A66" s="45" t="s">
        <v>789</v>
      </c>
      <c r="B66" s="46" t="s">
        <v>790</v>
      </c>
      <c r="C66" s="136">
        <v>0.06</v>
      </c>
      <c r="D66" s="28">
        <f>C66*D$28</f>
        <v>108.99419999999999</v>
      </c>
    </row>
    <row r="67" spans="1:4" ht="15.75" customHeight="1" x14ac:dyDescent="0.25">
      <c r="A67" s="45" t="s">
        <v>791</v>
      </c>
      <c r="B67" s="46" t="s">
        <v>792</v>
      </c>
      <c r="C67" s="144">
        <f>'DADOS CCT'!D14</f>
        <v>1</v>
      </c>
      <c r="D67" s="28">
        <v>0</v>
      </c>
    </row>
    <row r="68" spans="1:4" ht="15.75" customHeight="1" x14ac:dyDescent="0.25">
      <c r="A68" s="45" t="s">
        <v>793</v>
      </c>
      <c r="B68" s="46" t="s">
        <v>794</v>
      </c>
      <c r="C68" s="136"/>
      <c r="D68" s="138">
        <f>(C69*C70)-D71</f>
        <v>402.79679999999996</v>
      </c>
    </row>
    <row r="69" spans="1:4" ht="15.75" customHeight="1" x14ac:dyDescent="0.25">
      <c r="A69" s="45" t="s">
        <v>795</v>
      </c>
      <c r="B69" s="46" t="s">
        <v>796</v>
      </c>
      <c r="C69" s="146">
        <f>'DADOS CCT'!D15</f>
        <v>23.68</v>
      </c>
      <c r="D69" s="28">
        <v>0</v>
      </c>
    </row>
    <row r="70" spans="1:4" ht="15.75" customHeight="1" x14ac:dyDescent="0.25">
      <c r="A70" s="45" t="s">
        <v>797</v>
      </c>
      <c r="B70" s="46" t="s">
        <v>798</v>
      </c>
      <c r="C70" s="147">
        <f>C$18</f>
        <v>21</v>
      </c>
      <c r="D70" s="28">
        <v>0</v>
      </c>
    </row>
    <row r="71" spans="1:4" ht="15.75" customHeight="1" x14ac:dyDescent="0.25">
      <c r="A71" s="45" t="s">
        <v>799</v>
      </c>
      <c r="B71" s="46" t="s">
        <v>800</v>
      </c>
      <c r="C71" s="144">
        <f>'DADOS CCT'!D17</f>
        <v>0.19</v>
      </c>
      <c r="D71" s="28">
        <f>(C69*C70)*C71</f>
        <v>94.483199999999997</v>
      </c>
    </row>
    <row r="72" spans="1:4" ht="15.75" customHeight="1" x14ac:dyDescent="0.25">
      <c r="A72" s="45" t="s">
        <v>801</v>
      </c>
      <c r="B72" s="46" t="s">
        <v>802</v>
      </c>
      <c r="C72" s="136"/>
      <c r="D72" s="208">
        <f>'DADOS CCT'!D$18</f>
        <v>19.420000000000002</v>
      </c>
    </row>
    <row r="73" spans="1:4" ht="15.75" customHeight="1" x14ac:dyDescent="0.25">
      <c r="A73" s="45" t="s">
        <v>803</v>
      </c>
      <c r="B73" s="46" t="s">
        <v>804</v>
      </c>
      <c r="C73" s="136"/>
      <c r="D73" s="28">
        <v>0</v>
      </c>
    </row>
    <row r="74" spans="1:4" ht="15.75" customHeight="1" x14ac:dyDescent="0.25">
      <c r="A74" s="45" t="s">
        <v>805</v>
      </c>
      <c r="B74" s="46" t="s">
        <v>778</v>
      </c>
      <c r="C74" s="136"/>
      <c r="D74" s="28">
        <v>0</v>
      </c>
    </row>
    <row r="75" spans="1:4" ht="15.75" customHeight="1" x14ac:dyDescent="0.25">
      <c r="A75" s="582" t="s">
        <v>752</v>
      </c>
      <c r="B75" s="572"/>
      <c r="C75" s="184"/>
      <c r="D75" s="185">
        <f>SUM(D62,D68,D72:D74)</f>
        <v>523.22259999999994</v>
      </c>
    </row>
    <row r="76" spans="1:4" ht="38.25" customHeight="1" x14ac:dyDescent="0.25">
      <c r="A76" s="583" t="s">
        <v>1102</v>
      </c>
      <c r="B76" s="586"/>
      <c r="C76" s="40"/>
      <c r="D76" s="41"/>
    </row>
    <row r="77" spans="1:4" ht="8.1" customHeight="1" x14ac:dyDescent="0.25">
      <c r="A77" s="125"/>
      <c r="B77" s="33"/>
      <c r="C77" s="140"/>
      <c r="D77" s="127"/>
    </row>
    <row r="78" spans="1:4" ht="15.75" customHeight="1" x14ac:dyDescent="0.25">
      <c r="A78" s="581" t="s">
        <v>806</v>
      </c>
      <c r="B78" s="572"/>
      <c r="C78" s="182"/>
      <c r="D78" s="183" t="s">
        <v>734</v>
      </c>
    </row>
    <row r="79" spans="1:4" ht="15.75" customHeight="1" x14ac:dyDescent="0.25">
      <c r="A79" s="45" t="s">
        <v>807</v>
      </c>
      <c r="B79" s="46" t="s">
        <v>808</v>
      </c>
      <c r="C79" s="136"/>
      <c r="D79" s="28">
        <f>D45</f>
        <v>288.78013290000001</v>
      </c>
    </row>
    <row r="80" spans="1:4" ht="15.75" customHeight="1" x14ac:dyDescent="0.25">
      <c r="A80" s="45" t="s">
        <v>809</v>
      </c>
      <c r="B80" s="46" t="s">
        <v>810</v>
      </c>
      <c r="C80" s="28"/>
      <c r="D80" s="28">
        <f>D58</f>
        <v>1127.1272968941998</v>
      </c>
    </row>
    <row r="81" spans="1:4" ht="15.75" customHeight="1" x14ac:dyDescent="0.25">
      <c r="A81" s="45" t="s">
        <v>811</v>
      </c>
      <c r="B81" s="46" t="s">
        <v>812</v>
      </c>
      <c r="C81" s="28"/>
      <c r="D81" s="28">
        <f>D75</f>
        <v>523.22259999999994</v>
      </c>
    </row>
    <row r="82" spans="1:4" ht="15.75" customHeight="1" thickBot="1" x14ac:dyDescent="0.3">
      <c r="A82" s="589" t="s">
        <v>752</v>
      </c>
      <c r="B82" s="590"/>
      <c r="C82" s="180"/>
      <c r="D82" s="181">
        <f>SUM(D79:D81)</f>
        <v>1939.1300297941998</v>
      </c>
    </row>
    <row r="83" spans="1:4" ht="8.1" customHeight="1" x14ac:dyDescent="0.25">
      <c r="A83" s="148"/>
      <c r="B83" s="149"/>
      <c r="C83" s="40"/>
      <c r="D83" s="41"/>
    </row>
    <row r="84" spans="1:4" ht="8.1" customHeight="1" thickBot="1" x14ac:dyDescent="0.3">
      <c r="A84" s="4"/>
      <c r="B84" s="1"/>
      <c r="C84" s="22"/>
      <c r="D84" s="6"/>
    </row>
    <row r="85" spans="1:4" ht="18" customHeight="1" x14ac:dyDescent="0.25">
      <c r="A85" s="591" t="s">
        <v>813</v>
      </c>
      <c r="B85" s="592"/>
      <c r="C85" s="12"/>
      <c r="D85" s="150" t="s">
        <v>734</v>
      </c>
    </row>
    <row r="86" spans="1:4" ht="15.75" customHeight="1" x14ac:dyDescent="0.25">
      <c r="A86" s="209" t="s">
        <v>814</v>
      </c>
      <c r="B86" s="210" t="s">
        <v>815</v>
      </c>
      <c r="C86" s="211">
        <v>0.05</v>
      </c>
      <c r="D86" s="212">
        <f>(D$33/$C$11)*C86*C89</f>
        <v>10.596658333333334</v>
      </c>
    </row>
    <row r="87" spans="1:4" ht="15.75" customHeight="1" x14ac:dyDescent="0.25">
      <c r="A87" s="209" t="s">
        <v>816</v>
      </c>
      <c r="B87" s="210" t="s">
        <v>817</v>
      </c>
      <c r="C87" s="211">
        <f>C56</f>
        <v>0.08</v>
      </c>
      <c r="D87" s="212">
        <f>D86*C87</f>
        <v>0.84773266666666669</v>
      </c>
    </row>
    <row r="88" spans="1:4" ht="15.75" customHeight="1" x14ac:dyDescent="0.25">
      <c r="A88" s="209" t="s">
        <v>818</v>
      </c>
      <c r="B88" s="210" t="s">
        <v>819</v>
      </c>
      <c r="C88" s="211">
        <v>0.04</v>
      </c>
      <c r="D88" s="212">
        <f>D$33*C88</f>
        <v>101.72792</v>
      </c>
    </row>
    <row r="89" spans="1:4" ht="15.75" customHeight="1" x14ac:dyDescent="0.25">
      <c r="A89" s="213" t="s">
        <v>820</v>
      </c>
      <c r="B89" s="214" t="s">
        <v>821</v>
      </c>
      <c r="C89" s="215">
        <v>1</v>
      </c>
      <c r="D89" s="216">
        <v>0</v>
      </c>
    </row>
    <row r="90" spans="1:4" ht="15.75" customHeight="1" x14ac:dyDescent="0.25">
      <c r="A90" s="18" t="s">
        <v>822</v>
      </c>
      <c r="B90" s="13" t="s">
        <v>823</v>
      </c>
      <c r="C90" s="15">
        <v>0.9</v>
      </c>
      <c r="D90" s="14">
        <f>(((D$33/30)*7)/12)*C90*C93</f>
        <v>44.505964999999996</v>
      </c>
    </row>
    <row r="91" spans="1:4" ht="15.75" customHeight="1" x14ac:dyDescent="0.25">
      <c r="A91" s="18" t="s">
        <v>820</v>
      </c>
      <c r="B91" s="13" t="s">
        <v>824</v>
      </c>
      <c r="C91" s="15">
        <f>C58</f>
        <v>0.39800000000000008</v>
      </c>
      <c r="D91" s="14">
        <f>D90*C91</f>
        <v>17.71337407</v>
      </c>
    </row>
    <row r="92" spans="1:4" ht="15.75" customHeight="1" x14ac:dyDescent="0.25">
      <c r="A92" s="18" t="s">
        <v>822</v>
      </c>
      <c r="B92" s="13" t="s">
        <v>825</v>
      </c>
      <c r="C92" s="17">
        <v>3.8080000000000003E-2</v>
      </c>
      <c r="D92" s="14">
        <f>D$33*C92</f>
        <v>96.844979840000008</v>
      </c>
    </row>
    <row r="93" spans="1:4" ht="15.75" customHeight="1" x14ac:dyDescent="0.25">
      <c r="A93" s="66" t="s">
        <v>826</v>
      </c>
      <c r="B93" s="34" t="s">
        <v>827</v>
      </c>
      <c r="C93" s="67">
        <v>1</v>
      </c>
      <c r="D93" s="35">
        <v>0</v>
      </c>
    </row>
    <row r="94" spans="1:4" ht="15.75" customHeight="1" thickBot="1" x14ac:dyDescent="0.3">
      <c r="A94" s="593" t="s">
        <v>752</v>
      </c>
      <c r="B94" s="594"/>
      <c r="C94" s="172"/>
      <c r="D94" s="173">
        <f>SUM(D86:D88,D90:D92)</f>
        <v>272.23662990999998</v>
      </c>
    </row>
    <row r="95" spans="1:4" ht="53.25" customHeight="1" x14ac:dyDescent="0.25">
      <c r="A95" s="577" t="s">
        <v>828</v>
      </c>
      <c r="B95" s="578"/>
      <c r="C95" s="3"/>
      <c r="D95" s="41"/>
    </row>
    <row r="96" spans="1:4" ht="15.95" customHeight="1" thickBot="1" x14ac:dyDescent="0.3">
      <c r="A96" s="4"/>
      <c r="B96" s="1"/>
      <c r="C96" s="22"/>
      <c r="D96" s="6"/>
    </row>
    <row r="97" spans="1:4" ht="18" customHeight="1" x14ac:dyDescent="0.25">
      <c r="A97" s="591" t="s">
        <v>829</v>
      </c>
      <c r="B97" s="592"/>
      <c r="C97" s="12"/>
      <c r="D97" s="150" t="s">
        <v>734</v>
      </c>
    </row>
    <row r="98" spans="1:4" ht="8.1" customHeight="1" x14ac:dyDescent="0.25">
      <c r="A98" s="7"/>
      <c r="C98" s="8"/>
      <c r="D98" s="127"/>
    </row>
    <row r="99" spans="1:4" ht="15.75" customHeight="1" x14ac:dyDescent="0.25">
      <c r="A99" s="587" t="s">
        <v>830</v>
      </c>
      <c r="B99" s="588"/>
      <c r="C99" s="151"/>
      <c r="D99" s="152">
        <f>SUM(D33,D45,D102)</f>
        <v>3062.7733513999997</v>
      </c>
    </row>
    <row r="100" spans="1:4" ht="8.1" customHeight="1" x14ac:dyDescent="0.25">
      <c r="A100" s="7"/>
      <c r="C100" s="8"/>
      <c r="D100" s="127"/>
    </row>
    <row r="101" spans="1:4" ht="15.75" customHeight="1" x14ac:dyDescent="0.25">
      <c r="A101" s="587" t="s">
        <v>831</v>
      </c>
      <c r="B101" s="588"/>
      <c r="C101" s="151"/>
      <c r="D101" s="152" t="s">
        <v>734</v>
      </c>
    </row>
    <row r="102" spans="1:4" ht="15.75" customHeight="1" x14ac:dyDescent="0.25">
      <c r="A102" s="18" t="s">
        <v>832</v>
      </c>
      <c r="B102" s="13" t="s">
        <v>833</v>
      </c>
      <c r="C102" s="17">
        <v>9.0749999999999997E-2</v>
      </c>
      <c r="D102" s="14">
        <f>D$33*C102</f>
        <v>230.79521849999998</v>
      </c>
    </row>
    <row r="103" spans="1:4" ht="15.75" customHeight="1" x14ac:dyDescent="0.25">
      <c r="A103" s="18" t="s">
        <v>834</v>
      </c>
      <c r="B103" s="13" t="s">
        <v>835</v>
      </c>
      <c r="C103" s="14">
        <v>1</v>
      </c>
      <c r="D103" s="14">
        <f>((D99/30)*C103)/12</f>
        <v>8.5077037538888884</v>
      </c>
    </row>
    <row r="104" spans="1:4" ht="15.75" customHeight="1" x14ac:dyDescent="0.25">
      <c r="A104" s="18" t="s">
        <v>836</v>
      </c>
      <c r="B104" s="13" t="s">
        <v>837</v>
      </c>
      <c r="C104" s="15">
        <v>1.4999999999999999E-2</v>
      </c>
      <c r="D104" s="14">
        <f>((D99/30)*5/12)*C104</f>
        <v>0.6380777815416665</v>
      </c>
    </row>
    <row r="105" spans="1:4" ht="15.75" customHeight="1" x14ac:dyDescent="0.25">
      <c r="A105" s="18" t="s">
        <v>838</v>
      </c>
      <c r="B105" s="13" t="s">
        <v>839</v>
      </c>
      <c r="C105" s="15">
        <v>7.7999999999999996E-3</v>
      </c>
      <c r="D105" s="14">
        <f>((D99/30)*15/12)*C105</f>
        <v>0.99540133920499985</v>
      </c>
    </row>
    <row r="106" spans="1:4" ht="15.75" customHeight="1" x14ac:dyDescent="0.25">
      <c r="A106" s="18" t="s">
        <v>840</v>
      </c>
      <c r="B106" s="13" t="s">
        <v>841</v>
      </c>
      <c r="C106" s="15">
        <v>0.02</v>
      </c>
      <c r="D106" s="14">
        <f>(((D33+(D33/3))/12)*(4/12))*C106</f>
        <v>1.8838503703703702</v>
      </c>
    </row>
    <row r="107" spans="1:4" ht="15.75" customHeight="1" x14ac:dyDescent="0.25">
      <c r="A107" s="18" t="s">
        <v>842</v>
      </c>
      <c r="B107" s="13" t="s">
        <v>843</v>
      </c>
      <c r="C107" s="14">
        <v>3</v>
      </c>
      <c r="D107" s="14">
        <f>((D99/30)*C107)/12</f>
        <v>25.523111261666667</v>
      </c>
    </row>
    <row r="108" spans="1:4" ht="15.75" customHeight="1" x14ac:dyDescent="0.25">
      <c r="A108" s="18" t="s">
        <v>844</v>
      </c>
      <c r="B108" s="13" t="s">
        <v>845</v>
      </c>
      <c r="C108" s="14"/>
      <c r="D108" s="14">
        <f>((D99/30)*C108)/12</f>
        <v>0</v>
      </c>
    </row>
    <row r="109" spans="1:4" ht="15.75" customHeight="1" x14ac:dyDescent="0.25">
      <c r="A109" s="595" t="s">
        <v>752</v>
      </c>
      <c r="B109" s="588"/>
      <c r="C109" s="175"/>
      <c r="D109" s="44">
        <f>SUM(D102:D107)</f>
        <v>268.34336300667252</v>
      </c>
    </row>
    <row r="110" spans="1:4" ht="15.75" customHeight="1" x14ac:dyDescent="0.25">
      <c r="A110" s="18" t="s">
        <v>846</v>
      </c>
      <c r="B110" s="13" t="s">
        <v>847</v>
      </c>
      <c r="C110" s="15">
        <f>C58</f>
        <v>0.39800000000000008</v>
      </c>
      <c r="D110" s="14">
        <f>D109*C110</f>
        <v>106.80065847665568</v>
      </c>
    </row>
    <row r="111" spans="1:4" ht="15.75" customHeight="1" x14ac:dyDescent="0.25">
      <c r="A111" s="596" t="s">
        <v>752</v>
      </c>
      <c r="B111" s="588"/>
      <c r="C111" s="179"/>
      <c r="D111" s="178">
        <f>SUM(D109:D110)</f>
        <v>375.14402148332817</v>
      </c>
    </row>
    <row r="112" spans="1:4" ht="61.5" customHeight="1" x14ac:dyDescent="0.25">
      <c r="A112" s="577" t="s">
        <v>848</v>
      </c>
      <c r="B112" s="578"/>
      <c r="C112" s="3"/>
      <c r="D112" s="41"/>
    </row>
    <row r="113" spans="1:4" ht="8.1" customHeight="1" x14ac:dyDescent="0.25">
      <c r="A113" s="125"/>
      <c r="B113" s="42"/>
      <c r="C113" s="140"/>
      <c r="D113" s="127"/>
    </row>
    <row r="114" spans="1:4" ht="15.75" customHeight="1" x14ac:dyDescent="0.25">
      <c r="A114" s="587" t="s">
        <v>849</v>
      </c>
      <c r="B114" s="588"/>
      <c r="C114" s="151"/>
      <c r="D114" s="152" t="s">
        <v>734</v>
      </c>
    </row>
    <row r="115" spans="1:4" ht="15.75" customHeight="1" x14ac:dyDescent="0.25">
      <c r="A115" s="18" t="s">
        <v>850</v>
      </c>
      <c r="B115" s="13" t="s">
        <v>851</v>
      </c>
      <c r="C115" s="14">
        <v>0</v>
      </c>
      <c r="D115" s="14">
        <f>((D$37+D$82)/C$28)*C115*C$18</f>
        <v>0</v>
      </c>
    </row>
    <row r="116" spans="1:4" ht="15.75" customHeight="1" x14ac:dyDescent="0.25">
      <c r="A116" s="18" t="s">
        <v>852</v>
      </c>
      <c r="B116" s="13" t="s">
        <v>853</v>
      </c>
      <c r="C116" s="15">
        <f>C58</f>
        <v>0.39800000000000008</v>
      </c>
      <c r="D116" s="14">
        <f>D115*C116</f>
        <v>0</v>
      </c>
    </row>
    <row r="117" spans="1:4" ht="15.75" customHeight="1" x14ac:dyDescent="0.25">
      <c r="A117" s="596" t="s">
        <v>752</v>
      </c>
      <c r="B117" s="588"/>
      <c r="C117" s="177"/>
      <c r="D117" s="178">
        <f>SUM(D115:D116)</f>
        <v>0</v>
      </c>
    </row>
    <row r="118" spans="1:4" ht="8.1" customHeight="1" x14ac:dyDescent="0.25">
      <c r="A118" s="577"/>
      <c r="B118" s="578"/>
      <c r="C118" s="3"/>
      <c r="D118" s="41"/>
    </row>
    <row r="119" spans="1:4" ht="8.1" customHeight="1" x14ac:dyDescent="0.25">
      <c r="A119" s="7"/>
      <c r="C119" s="20"/>
      <c r="D119" s="127"/>
    </row>
    <row r="120" spans="1:4" ht="15.75" customHeight="1" x14ac:dyDescent="0.25">
      <c r="A120" s="587" t="s">
        <v>854</v>
      </c>
      <c r="B120" s="588"/>
      <c r="C120" s="151"/>
      <c r="D120" s="152" t="s">
        <v>734</v>
      </c>
    </row>
    <row r="121" spans="1:4" ht="15.75" customHeight="1" x14ac:dyDescent="0.25">
      <c r="A121" s="18" t="s">
        <v>855</v>
      </c>
      <c r="B121" s="13" t="s">
        <v>856</v>
      </c>
      <c r="C121" s="15"/>
      <c r="D121" s="14">
        <f>D111</f>
        <v>375.14402148332817</v>
      </c>
    </row>
    <row r="122" spans="1:4" ht="15.75" customHeight="1" x14ac:dyDescent="0.25">
      <c r="A122" s="18" t="s">
        <v>857</v>
      </c>
      <c r="B122" s="13" t="s">
        <v>858</v>
      </c>
      <c r="C122" s="14"/>
      <c r="D122" s="14">
        <f>D117</f>
        <v>0</v>
      </c>
    </row>
    <row r="123" spans="1:4" ht="15.75" customHeight="1" thickBot="1" x14ac:dyDescent="0.3">
      <c r="A123" s="593" t="s">
        <v>752</v>
      </c>
      <c r="B123" s="594"/>
      <c r="C123" s="172"/>
      <c r="D123" s="173">
        <f>SUM(D121:D122)</f>
        <v>375.14402148332817</v>
      </c>
    </row>
    <row r="124" spans="1:4" ht="8.1" customHeight="1" x14ac:dyDescent="0.25">
      <c r="A124" s="153"/>
      <c r="B124" s="154"/>
      <c r="C124" s="155"/>
      <c r="D124" s="156"/>
    </row>
    <row r="125" spans="1:4" ht="8.1" customHeight="1" thickBot="1" x14ac:dyDescent="0.3">
      <c r="A125" s="125"/>
      <c r="B125" s="42"/>
      <c r="C125" s="140"/>
      <c r="D125" s="127"/>
    </row>
    <row r="126" spans="1:4" ht="18" customHeight="1" x14ac:dyDescent="0.25">
      <c r="A126" s="591" t="s">
        <v>859</v>
      </c>
      <c r="B126" s="592"/>
      <c r="C126" s="12"/>
      <c r="D126" s="150" t="s">
        <v>734</v>
      </c>
    </row>
    <row r="127" spans="1:4" ht="15.75" customHeight="1" x14ac:dyDescent="0.25">
      <c r="A127" s="174" t="s">
        <v>860</v>
      </c>
      <c r="B127" s="175" t="s">
        <v>861</v>
      </c>
      <c r="C127" s="176"/>
      <c r="D127" s="44">
        <f>tbUNIFORMESC[[#Totals],[VL. MENSAL]]</f>
        <v>197.39499999999998</v>
      </c>
    </row>
    <row r="128" spans="1:4" ht="15.75" customHeight="1" x14ac:dyDescent="0.25">
      <c r="A128" s="174" t="s">
        <v>862</v>
      </c>
      <c r="B128" s="175" t="s">
        <v>863</v>
      </c>
      <c r="C128" s="176"/>
      <c r="D128" s="44">
        <v>0</v>
      </c>
    </row>
    <row r="129" spans="1:4" ht="15.75" customHeight="1" x14ac:dyDescent="0.25">
      <c r="A129" s="174" t="s">
        <v>864</v>
      </c>
      <c r="B129" s="175" t="s">
        <v>865</v>
      </c>
      <c r="C129" s="176"/>
      <c r="D129" s="44">
        <v>0</v>
      </c>
    </row>
    <row r="130" spans="1:4" ht="15.75" customHeight="1" x14ac:dyDescent="0.25">
      <c r="A130" s="174" t="s">
        <v>866</v>
      </c>
      <c r="B130" s="175" t="s">
        <v>867</v>
      </c>
      <c r="C130" s="176"/>
      <c r="D130" s="44">
        <v>0</v>
      </c>
    </row>
    <row r="131" spans="1:4" ht="15.75" customHeight="1" thickBot="1" x14ac:dyDescent="0.3">
      <c r="A131" s="593" t="s">
        <v>752</v>
      </c>
      <c r="B131" s="594"/>
      <c r="C131" s="172"/>
      <c r="D131" s="173">
        <f>SUM(D127:D130)</f>
        <v>197.39499999999998</v>
      </c>
    </row>
    <row r="132" spans="1:4" ht="15.95" customHeight="1" thickBot="1" x14ac:dyDescent="0.3">
      <c r="A132" s="4"/>
      <c r="B132" s="1"/>
      <c r="C132" s="22"/>
      <c r="D132" s="6"/>
    </row>
    <row r="133" spans="1:4" ht="18" customHeight="1" x14ac:dyDescent="0.25">
      <c r="A133" s="591" t="s">
        <v>868</v>
      </c>
      <c r="B133" s="592"/>
      <c r="C133" s="12"/>
      <c r="D133" s="150" t="s">
        <v>734</v>
      </c>
    </row>
    <row r="134" spans="1:4" ht="8.1" customHeight="1" x14ac:dyDescent="0.25">
      <c r="A134" s="7"/>
      <c r="C134" s="8"/>
      <c r="D134" s="127"/>
    </row>
    <row r="135" spans="1:4" ht="15.75" customHeight="1" x14ac:dyDescent="0.25">
      <c r="A135" s="587" t="s">
        <v>869</v>
      </c>
      <c r="B135" s="588"/>
      <c r="C135" s="151"/>
      <c r="D135" s="152">
        <f>SUM(D37,D82,D94,D123,D131)</f>
        <v>5327.1036811875292</v>
      </c>
    </row>
    <row r="136" spans="1:4" ht="8.1" customHeight="1" x14ac:dyDescent="0.25">
      <c r="A136" s="7"/>
      <c r="C136" s="8"/>
      <c r="D136" s="127"/>
    </row>
    <row r="137" spans="1:4" ht="15.75" customHeight="1" x14ac:dyDescent="0.25">
      <c r="A137" s="66" t="s">
        <v>870</v>
      </c>
      <c r="B137" s="34" t="s">
        <v>871</v>
      </c>
      <c r="C137" s="67">
        <v>0.05</v>
      </c>
      <c r="D137" s="35">
        <f>D$135*C137</f>
        <v>266.35518405937648</v>
      </c>
    </row>
    <row r="138" spans="1:4" ht="15.75" customHeight="1" x14ac:dyDescent="0.25">
      <c r="A138" s="66" t="s">
        <v>872</v>
      </c>
      <c r="B138" s="34" t="s">
        <v>873</v>
      </c>
      <c r="C138" s="67">
        <v>0.1</v>
      </c>
      <c r="D138" s="35">
        <f>SUM(D135,D137)*C138</f>
        <v>559.34588652469063</v>
      </c>
    </row>
    <row r="139" spans="1:4" ht="8.1" customHeight="1" x14ac:dyDescent="0.25">
      <c r="A139" s="7"/>
      <c r="C139" s="8"/>
      <c r="D139" s="127"/>
    </row>
    <row r="140" spans="1:4" ht="15.75" customHeight="1" x14ac:dyDescent="0.25">
      <c r="A140" s="587" t="s">
        <v>874</v>
      </c>
      <c r="B140" s="588"/>
      <c r="C140" s="151"/>
      <c r="D140" s="152">
        <f>SUM(D135,D137:D138)</f>
        <v>6152.8047517715959</v>
      </c>
    </row>
    <row r="141" spans="1:4" ht="8.1" customHeight="1" x14ac:dyDescent="0.25">
      <c r="A141" s="7"/>
      <c r="C141" s="8"/>
      <c r="D141" s="127"/>
    </row>
    <row r="142" spans="1:4" ht="15.75" customHeight="1" x14ac:dyDescent="0.25">
      <c r="A142" s="18" t="s">
        <v>875</v>
      </c>
      <c r="B142" s="13" t="s">
        <v>876</v>
      </c>
      <c r="C142" s="19">
        <f>'DADOS CCT'!D21</f>
        <v>7.5999999999999998E-2</v>
      </c>
      <c r="D142" s="14">
        <f>(D$140/(1-C$146))*C142</f>
        <v>539.03534424742509</v>
      </c>
    </row>
    <row r="143" spans="1:4" ht="15.75" customHeight="1" x14ac:dyDescent="0.25">
      <c r="A143" s="18" t="s">
        <v>877</v>
      </c>
      <c r="B143" s="13" t="s">
        <v>878</v>
      </c>
      <c r="C143" s="19">
        <f>'DADOS CCT'!D20</f>
        <v>1.6500000000000001E-2</v>
      </c>
      <c r="D143" s="14">
        <f>(D$140/(1-C$146))*C143</f>
        <v>117.02741026424363</v>
      </c>
    </row>
    <row r="144" spans="1:4" ht="15.75" customHeight="1" x14ac:dyDescent="0.25">
      <c r="A144" s="18" t="s">
        <v>879</v>
      </c>
      <c r="B144" s="13" t="s">
        <v>880</v>
      </c>
      <c r="C144" s="15"/>
      <c r="D144" s="14">
        <f>(D$140/(1-C$146))*C144</f>
        <v>0</v>
      </c>
    </row>
    <row r="145" spans="1:4" ht="15.75" customHeight="1" x14ac:dyDescent="0.25">
      <c r="A145" s="18" t="s">
        <v>881</v>
      </c>
      <c r="B145" s="13" t="s">
        <v>882</v>
      </c>
      <c r="C145" s="19">
        <f>'DADOS CCT'!D19</f>
        <v>0.04</v>
      </c>
      <c r="D145" s="14">
        <f>(D$140/(1-C$146))*C145</f>
        <v>283.7028127618027</v>
      </c>
    </row>
    <row r="146" spans="1:4" ht="15.75" customHeight="1" thickBot="1" x14ac:dyDescent="0.3">
      <c r="A146" s="599" t="s">
        <v>752</v>
      </c>
      <c r="B146" s="600"/>
      <c r="C146" s="43">
        <f>SUM(C142:C145)</f>
        <v>0.13250000000000001</v>
      </c>
      <c r="D146" s="39">
        <f>SUM(D137:D138,D142:D145)</f>
        <v>1765.4666378575387</v>
      </c>
    </row>
    <row r="147" spans="1:4" ht="15.95" customHeight="1" thickBot="1" x14ac:dyDescent="0.3">
      <c r="A147" s="4"/>
      <c r="B147" s="1"/>
      <c r="C147" s="22"/>
      <c r="D147" s="6"/>
    </row>
    <row r="148" spans="1:4" ht="18" customHeight="1" x14ac:dyDescent="0.25">
      <c r="A148" s="601" t="s">
        <v>883</v>
      </c>
      <c r="B148" s="602"/>
      <c r="C148" s="170"/>
      <c r="D148" s="171" t="s">
        <v>734</v>
      </c>
    </row>
    <row r="149" spans="1:4" ht="15.75" customHeight="1" x14ac:dyDescent="0.25">
      <c r="A149" s="45"/>
      <c r="B149" s="46" t="s">
        <v>884</v>
      </c>
      <c r="C149" s="136"/>
      <c r="D149" s="28">
        <f>D37</f>
        <v>2543.1979999999999</v>
      </c>
    </row>
    <row r="150" spans="1:4" ht="15.75" customHeight="1" x14ac:dyDescent="0.25">
      <c r="A150" s="45"/>
      <c r="B150" s="46" t="s">
        <v>885</v>
      </c>
      <c r="C150" s="136"/>
      <c r="D150" s="28">
        <f>D82</f>
        <v>1939.1300297941998</v>
      </c>
    </row>
    <row r="151" spans="1:4" ht="15.75" customHeight="1" x14ac:dyDescent="0.25">
      <c r="A151" s="45"/>
      <c r="B151" s="46" t="s">
        <v>886</v>
      </c>
      <c r="C151" s="143"/>
      <c r="D151" s="28">
        <f>D94</f>
        <v>272.23662990999998</v>
      </c>
    </row>
    <row r="152" spans="1:4" ht="15.75" customHeight="1" x14ac:dyDescent="0.25">
      <c r="A152" s="45"/>
      <c r="B152" s="46" t="s">
        <v>887</v>
      </c>
      <c r="C152" s="136"/>
      <c r="D152" s="28">
        <f>D123</f>
        <v>375.14402148332817</v>
      </c>
    </row>
    <row r="153" spans="1:4" ht="15.75" customHeight="1" x14ac:dyDescent="0.25">
      <c r="A153" s="45"/>
      <c r="B153" s="46" t="s">
        <v>888</v>
      </c>
      <c r="C153" s="136"/>
      <c r="D153" s="28">
        <f>D131</f>
        <v>197.39499999999998</v>
      </c>
    </row>
    <row r="154" spans="1:4" ht="15.75" customHeight="1" x14ac:dyDescent="0.25">
      <c r="A154" s="585" t="s">
        <v>752</v>
      </c>
      <c r="B154" s="412"/>
      <c r="C154" s="137"/>
      <c r="D154" s="138">
        <f>SUM(D149:D153)</f>
        <v>5327.1036811875292</v>
      </c>
    </row>
    <row r="155" spans="1:4" ht="15.75" customHeight="1" x14ac:dyDescent="0.25">
      <c r="A155" s="45"/>
      <c r="B155" s="46" t="s">
        <v>889</v>
      </c>
      <c r="C155" s="143"/>
      <c r="D155" s="28">
        <f>D146</f>
        <v>1765.4666378575387</v>
      </c>
    </row>
    <row r="156" spans="1:4" ht="15.75" customHeight="1" thickBot="1" x14ac:dyDescent="0.35">
      <c r="A156" s="603" t="s">
        <v>890</v>
      </c>
      <c r="B156" s="604"/>
      <c r="C156" s="168"/>
      <c r="D156" s="169">
        <f>TRUNC(SUM(D154:D155),2)</f>
        <v>7092.57</v>
      </c>
    </row>
    <row r="157" spans="1:4" ht="8.1" customHeight="1" thickBot="1" x14ac:dyDescent="0.3">
      <c r="A157" s="9"/>
      <c r="B157" s="10"/>
      <c r="C157" s="21"/>
      <c r="D157" s="11"/>
    </row>
    <row r="158" spans="1:4" ht="15.75" customHeight="1" thickBot="1" x14ac:dyDescent="0.3">
      <c r="A158" s="605" t="s">
        <v>891</v>
      </c>
      <c r="B158" s="470"/>
      <c r="C158" s="166"/>
      <c r="D158" s="167">
        <v>1</v>
      </c>
    </row>
    <row r="159" spans="1:4" ht="8.1" customHeight="1" thickBot="1" x14ac:dyDescent="0.3">
      <c r="A159" s="9"/>
      <c r="B159" s="10"/>
      <c r="C159" s="21"/>
      <c r="D159" s="11"/>
    </row>
    <row r="160" spans="1:4" ht="15.75" customHeight="1" thickBot="1" x14ac:dyDescent="0.35">
      <c r="A160" s="597" t="s">
        <v>892</v>
      </c>
      <c r="B160" s="598"/>
      <c r="C160" s="164"/>
      <c r="D160" s="165">
        <f>TRUNC(D156*D158,2)</f>
        <v>7092.57</v>
      </c>
    </row>
    <row r="161" spans="1:4" ht="15.95" customHeight="1" thickBot="1" x14ac:dyDescent="0.3"/>
    <row r="162" spans="1:4" ht="15.75" customHeight="1" thickBot="1" x14ac:dyDescent="0.35">
      <c r="A162" s="561" t="s">
        <v>893</v>
      </c>
      <c r="B162" s="562"/>
      <c r="C162" s="162"/>
      <c r="D162" s="163">
        <f>D156/D37</f>
        <v>2.7888390915689616</v>
      </c>
    </row>
    <row r="163" spans="1:4" ht="15.95" customHeight="1" thickBot="1" x14ac:dyDescent="0.3">
      <c r="A163" s="33"/>
      <c r="B163" s="33"/>
      <c r="C163" s="33"/>
    </row>
    <row r="164" spans="1:4" ht="15.75" customHeight="1" x14ac:dyDescent="0.3">
      <c r="A164" s="551" t="s">
        <v>894</v>
      </c>
      <c r="B164" s="551"/>
      <c r="C164" s="160"/>
      <c r="D164" s="161"/>
    </row>
    <row r="165" spans="1:4" ht="15" customHeight="1" thickBot="1" x14ac:dyDescent="0.3">
      <c r="A165" s="157"/>
      <c r="B165" s="157" t="s">
        <v>895</v>
      </c>
      <c r="C165" s="157"/>
      <c r="D165" s="158">
        <f>TRUNC(D156/C$18,2)</f>
        <v>337.74</v>
      </c>
    </row>
  </sheetData>
  <mergeCells count="65">
    <mergeCell ref="A156:B156"/>
    <mergeCell ref="A158:B158"/>
    <mergeCell ref="A160:B160"/>
    <mergeCell ref="A162:B162"/>
    <mergeCell ref="A164:B164"/>
    <mergeCell ref="A154:B154"/>
    <mergeCell ref="A117:B117"/>
    <mergeCell ref="A118:B118"/>
    <mergeCell ref="A120:B120"/>
    <mergeCell ref="A123:B123"/>
    <mergeCell ref="A126:B126"/>
    <mergeCell ref="A131:B131"/>
    <mergeCell ref="A133:B133"/>
    <mergeCell ref="A135:B135"/>
    <mergeCell ref="A140:B140"/>
    <mergeCell ref="A146:B146"/>
    <mergeCell ref="A148:B148"/>
    <mergeCell ref="A114:B114"/>
    <mergeCell ref="A78:B78"/>
    <mergeCell ref="A82:B82"/>
    <mergeCell ref="A85:B85"/>
    <mergeCell ref="A94:B94"/>
    <mergeCell ref="A95:B95"/>
    <mergeCell ref="A97:B97"/>
    <mergeCell ref="A99:B99"/>
    <mergeCell ref="A101:B101"/>
    <mergeCell ref="A109:B109"/>
    <mergeCell ref="A111:B111"/>
    <mergeCell ref="A112:B112"/>
    <mergeCell ref="A76:B76"/>
    <mergeCell ref="A37:B37"/>
    <mergeCell ref="A38:B38"/>
    <mergeCell ref="A40:B40"/>
    <mergeCell ref="A42:B42"/>
    <mergeCell ref="A45:B45"/>
    <mergeCell ref="A46:B46"/>
    <mergeCell ref="A48:B48"/>
    <mergeCell ref="A58:B58"/>
    <mergeCell ref="A59:B59"/>
    <mergeCell ref="A61:B61"/>
    <mergeCell ref="A75:B75"/>
    <mergeCell ref="A33:B33"/>
    <mergeCell ref="C16:D16"/>
    <mergeCell ref="C17:D17"/>
    <mergeCell ref="C18:D18"/>
    <mergeCell ref="C19:D19"/>
    <mergeCell ref="C20:D20"/>
    <mergeCell ref="C21:D21"/>
    <mergeCell ref="C22:D22"/>
    <mergeCell ref="C23:D23"/>
    <mergeCell ref="A25:B25"/>
    <mergeCell ref="C25:D25"/>
    <mergeCell ref="A27:B27"/>
    <mergeCell ref="C15:D15"/>
    <mergeCell ref="C3:D3"/>
    <mergeCell ref="C4:D4"/>
    <mergeCell ref="C5:D5"/>
    <mergeCell ref="A7:B7"/>
    <mergeCell ref="C8:D8"/>
    <mergeCell ref="C9:D9"/>
    <mergeCell ref="C10:D10"/>
    <mergeCell ref="C11:D11"/>
    <mergeCell ref="C12:D12"/>
    <mergeCell ref="C13:D13"/>
    <mergeCell ref="C14:D14"/>
  </mergeCells>
  <pageMargins left="0.70866141732283472" right="0.70866141732283472" top="0.74803149606299213" bottom="0.74803149606299213" header="0" footer="0"/>
  <pageSetup paperSize="9" scale="80" fitToHeight="0" orientation="portrait" r:id="rId1"/>
  <rowBreaks count="4" manualBreakCount="4">
    <brk id="38" max="3" man="1"/>
    <brk id="83" max="3" man="1"/>
    <brk id="90" max="16383" man="1"/>
    <brk id="124" max="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2CE19-0D79-4413-852F-A69CCC5A12C1}">
  <sheetPr>
    <tabColor theme="4" tint="0.79998168889431442"/>
    <outlinePr summaryBelow="0"/>
    <pageSetUpPr fitToPage="1"/>
  </sheetPr>
  <dimension ref="A1:D165"/>
  <sheetViews>
    <sheetView workbookViewId="0"/>
  </sheetViews>
  <sheetFormatPr defaultColWidth="14.42578125" defaultRowHeight="15" customHeight="1" x14ac:dyDescent="0.25"/>
  <cols>
    <col min="1" max="1" width="6.7109375" customWidth="1"/>
    <col min="2" max="2" width="64.7109375" customWidth="1"/>
    <col min="3" max="3" width="18.7109375" customWidth="1"/>
    <col min="4" max="4" width="18.7109375" style="33" customWidth="1"/>
    <col min="5" max="16384" width="14.42578125" style="159"/>
  </cols>
  <sheetData>
    <row r="1" spans="1:4" ht="40.5" customHeight="1" x14ac:dyDescent="0.25">
      <c r="A1" s="38"/>
      <c r="B1" s="313" t="s">
        <v>692</v>
      </c>
      <c r="C1" s="37"/>
      <c r="D1" s="37"/>
    </row>
    <row r="2" spans="1:4" ht="15.95" customHeight="1" thickBot="1" x14ac:dyDescent="0.3">
      <c r="A2" s="125"/>
      <c r="B2" s="42"/>
      <c r="C2" s="126"/>
      <c r="D2" s="127"/>
    </row>
    <row r="3" spans="1:4" ht="15" customHeight="1" x14ac:dyDescent="0.25">
      <c r="A3" s="192"/>
      <c r="B3" s="314" t="s">
        <v>693</v>
      </c>
      <c r="C3" s="552"/>
      <c r="D3" s="552"/>
    </row>
    <row r="4" spans="1:4" ht="15" customHeight="1" x14ac:dyDescent="0.25">
      <c r="A4" s="193"/>
      <c r="B4" s="274" t="s">
        <v>694</v>
      </c>
      <c r="C4" s="553"/>
      <c r="D4" s="553"/>
    </row>
    <row r="5" spans="1:4" ht="15.75" customHeight="1" thickBot="1" x14ac:dyDescent="0.3">
      <c r="A5" s="194"/>
      <c r="B5" s="195" t="s">
        <v>695</v>
      </c>
      <c r="C5" s="554"/>
      <c r="D5" s="554"/>
    </row>
    <row r="6" spans="1:4" ht="15.95" customHeight="1" thickBot="1" x14ac:dyDescent="0.3">
      <c r="A6" s="125"/>
      <c r="B6" s="42"/>
      <c r="C6" s="126"/>
      <c r="D6" s="127"/>
    </row>
    <row r="7" spans="1:4" ht="15" customHeight="1" x14ac:dyDescent="0.25">
      <c r="A7" s="563" t="s">
        <v>696</v>
      </c>
      <c r="B7" s="564"/>
      <c r="C7" s="128"/>
      <c r="D7" s="129"/>
    </row>
    <row r="8" spans="1:4" ht="15" customHeight="1" x14ac:dyDescent="0.25">
      <c r="A8" s="45" t="s">
        <v>697</v>
      </c>
      <c r="B8" s="263" t="s">
        <v>698</v>
      </c>
      <c r="C8" s="555"/>
      <c r="D8" s="555"/>
    </row>
    <row r="9" spans="1:4" ht="15" customHeight="1" x14ac:dyDescent="0.25">
      <c r="A9" s="45" t="s">
        <v>699</v>
      </c>
      <c r="B9" s="263" t="s">
        <v>700</v>
      </c>
      <c r="C9" s="555" t="str">
        <f>'DADOS CCT'!B4</f>
        <v>SANTA MARIA</v>
      </c>
      <c r="D9" s="555"/>
    </row>
    <row r="10" spans="1:4" ht="15" customHeight="1" x14ac:dyDescent="0.25">
      <c r="A10" s="45" t="s">
        <v>701</v>
      </c>
      <c r="B10" s="263" t="s">
        <v>702</v>
      </c>
      <c r="C10" s="555" t="str">
        <f>'DADOS CCT'!C4&amp;" - "&amp;'DADOS CCT'!D5</f>
        <v>SINTEPS/RS - RS000042/2024</v>
      </c>
      <c r="D10" s="555"/>
    </row>
    <row r="11" spans="1:4" ht="15" customHeight="1" x14ac:dyDescent="0.25">
      <c r="A11" s="45" t="s">
        <v>703</v>
      </c>
      <c r="B11" s="263" t="s">
        <v>704</v>
      </c>
      <c r="C11" s="556">
        <v>12</v>
      </c>
      <c r="D11" s="556"/>
    </row>
    <row r="12" spans="1:4" ht="15" customHeight="1" x14ac:dyDescent="0.25">
      <c r="A12" s="45" t="s">
        <v>705</v>
      </c>
      <c r="B12" s="263" t="s">
        <v>706</v>
      </c>
      <c r="C12" s="557">
        <f>'DADOS CCT'!D6</f>
        <v>45292</v>
      </c>
      <c r="D12" s="557"/>
    </row>
    <row r="13" spans="1:4" ht="29.25" customHeight="1" x14ac:dyDescent="0.25">
      <c r="A13" s="45" t="s">
        <v>707</v>
      </c>
      <c r="B13" s="315" t="s">
        <v>708</v>
      </c>
      <c r="C13" s="558" t="s">
        <v>709</v>
      </c>
      <c r="D13" s="558"/>
    </row>
    <row r="14" spans="1:4" x14ac:dyDescent="0.25">
      <c r="A14" s="130" t="s">
        <v>710</v>
      </c>
      <c r="B14" s="131" t="s">
        <v>711</v>
      </c>
      <c r="C14" s="559" t="s">
        <v>712</v>
      </c>
      <c r="D14" s="559"/>
    </row>
    <row r="15" spans="1:4" x14ac:dyDescent="0.25">
      <c r="A15" s="130" t="s">
        <v>713</v>
      </c>
      <c r="B15" s="131" t="s">
        <v>714</v>
      </c>
      <c r="C15" s="559" t="s">
        <v>906</v>
      </c>
      <c r="D15" s="559"/>
    </row>
    <row r="16" spans="1:4" x14ac:dyDescent="0.25">
      <c r="A16" s="130" t="s">
        <v>716</v>
      </c>
      <c r="B16" s="131" t="s">
        <v>717</v>
      </c>
      <c r="C16" s="559" t="str">
        <f ca="1">RIGHT(CELL("nome.arquivo",A1),LEN(CELL("nome.arquivo",A1))-SEARCH("]",CELL("nome.arquivo",A1)))</f>
        <v>5143-20 ENC 5x2 DIURNO SM</v>
      </c>
      <c r="D16" s="559"/>
    </row>
    <row r="17" spans="1:4" x14ac:dyDescent="0.25">
      <c r="A17" s="130" t="s">
        <v>718</v>
      </c>
      <c r="B17" s="131" t="s">
        <v>719</v>
      </c>
      <c r="C17" s="560" t="s">
        <v>1196</v>
      </c>
      <c r="D17" s="560"/>
    </row>
    <row r="18" spans="1:4" x14ac:dyDescent="0.25">
      <c r="A18" s="130" t="s">
        <v>721</v>
      </c>
      <c r="B18" s="131" t="s">
        <v>722</v>
      </c>
      <c r="C18" s="560">
        <v>21</v>
      </c>
      <c r="D18" s="560"/>
    </row>
    <row r="19" spans="1:4" ht="15.75" customHeight="1" x14ac:dyDescent="0.25">
      <c r="A19" s="130" t="s">
        <v>723</v>
      </c>
      <c r="B19" s="131" t="s">
        <v>724</v>
      </c>
      <c r="C19" s="560">
        <f>'DADOS CCT'!D10</f>
        <v>2156.7139999999999</v>
      </c>
      <c r="D19" s="560"/>
    </row>
    <row r="20" spans="1:4" ht="15.75" customHeight="1" x14ac:dyDescent="0.25">
      <c r="A20" s="130" t="s">
        <v>725</v>
      </c>
      <c r="B20" s="132" t="s">
        <v>726</v>
      </c>
      <c r="C20" s="573">
        <f>C19/220</f>
        <v>9.8032454545454542</v>
      </c>
      <c r="D20" s="573"/>
    </row>
    <row r="21" spans="1:4" ht="15.75" customHeight="1" x14ac:dyDescent="0.25">
      <c r="A21" s="130" t="s">
        <v>727</v>
      </c>
      <c r="B21" s="132" t="s">
        <v>728</v>
      </c>
      <c r="C21" s="573">
        <f>C20*1.5</f>
        <v>14.704868181818181</v>
      </c>
      <c r="D21" s="573"/>
    </row>
    <row r="22" spans="1:4" ht="15.75" customHeight="1" x14ac:dyDescent="0.25">
      <c r="A22" s="130" t="s">
        <v>729</v>
      </c>
      <c r="B22" s="132" t="s">
        <v>730</v>
      </c>
      <c r="C22" s="573">
        <f>C20*2</f>
        <v>19.606490909090908</v>
      </c>
      <c r="D22" s="573"/>
    </row>
    <row r="23" spans="1:4" ht="15.75" customHeight="1" thickBot="1" x14ac:dyDescent="0.3">
      <c r="A23" s="133" t="s">
        <v>731</v>
      </c>
      <c r="B23" s="134" t="s">
        <v>732</v>
      </c>
      <c r="C23" s="574">
        <f>C20*0.2</f>
        <v>1.960649090909091</v>
      </c>
      <c r="D23" s="574"/>
    </row>
    <row r="24" spans="1:4" ht="15.95" customHeight="1" thickBot="1" x14ac:dyDescent="0.3">
      <c r="A24" s="125"/>
      <c r="B24" s="42"/>
      <c r="C24" s="126"/>
      <c r="D24" s="127"/>
    </row>
    <row r="25" spans="1:4" ht="15.75" thickBot="1" x14ac:dyDescent="0.3">
      <c r="A25" s="565"/>
      <c r="B25" s="566"/>
      <c r="C25" s="567" t="str">
        <f>'DADOS CCT'!D3</f>
        <v>00 - VALOR ESTIMADO</v>
      </c>
      <c r="D25" s="568"/>
    </row>
    <row r="26" spans="1:4" ht="6" customHeight="1" thickBot="1" x14ac:dyDescent="0.3">
      <c r="A26" s="4"/>
      <c r="B26" s="1"/>
      <c r="C26" s="5"/>
      <c r="D26" s="6"/>
    </row>
    <row r="27" spans="1:4" ht="18" customHeight="1" x14ac:dyDescent="0.25">
      <c r="A27" s="569" t="s">
        <v>733</v>
      </c>
      <c r="B27" s="570"/>
      <c r="C27" s="190"/>
      <c r="D27" s="191" t="s">
        <v>734</v>
      </c>
    </row>
    <row r="28" spans="1:4" ht="15.75" customHeight="1" x14ac:dyDescent="0.25">
      <c r="A28" s="45" t="s">
        <v>735</v>
      </c>
      <c r="B28" s="46" t="s">
        <v>736</v>
      </c>
      <c r="C28" s="135">
        <v>220</v>
      </c>
      <c r="D28" s="28">
        <f>C28*C19/220</f>
        <v>2156.7139999999999</v>
      </c>
    </row>
    <row r="29" spans="1:4" ht="15.75" customHeight="1" x14ac:dyDescent="0.25">
      <c r="A29" s="45" t="s">
        <v>737</v>
      </c>
      <c r="B29" s="46" t="s">
        <v>738</v>
      </c>
      <c r="C29" s="136"/>
      <c r="D29" s="28">
        <f>D$28*C29</f>
        <v>0</v>
      </c>
    </row>
    <row r="30" spans="1:4" ht="15.75" customHeight="1" x14ac:dyDescent="0.25">
      <c r="A30" s="45" t="s">
        <v>739</v>
      </c>
      <c r="B30" s="46" t="s">
        <v>740</v>
      </c>
      <c r="C30" s="136"/>
      <c r="D30" s="208">
        <f>C30*C19</f>
        <v>0</v>
      </c>
    </row>
    <row r="31" spans="1:4" ht="15.75" customHeight="1" x14ac:dyDescent="0.25">
      <c r="A31" s="45" t="s">
        <v>741</v>
      </c>
      <c r="B31" s="46" t="s">
        <v>742</v>
      </c>
      <c r="C31" s="28"/>
      <c r="D31" s="28">
        <f>(D28/C28)*0.2*C31*(60/52.5)</f>
        <v>0</v>
      </c>
    </row>
    <row r="32" spans="1:4" ht="15.75" customHeight="1" x14ac:dyDescent="0.25">
      <c r="A32" s="45" t="s">
        <v>743</v>
      </c>
      <c r="B32" s="46" t="s">
        <v>744</v>
      </c>
      <c r="C32" s="28"/>
      <c r="D32" s="28">
        <f>(D28/C28)*1.5*C32</f>
        <v>0</v>
      </c>
    </row>
    <row r="33" spans="1:4" ht="15.75" customHeight="1" x14ac:dyDescent="0.25">
      <c r="A33" s="571" t="s">
        <v>745</v>
      </c>
      <c r="B33" s="572"/>
      <c r="C33" s="184"/>
      <c r="D33" s="185">
        <f>SUM(D28:D32)</f>
        <v>2156.7139999999999</v>
      </c>
    </row>
    <row r="34" spans="1:4" ht="15.75" customHeight="1" x14ac:dyDescent="0.25">
      <c r="A34" s="45" t="s">
        <v>746</v>
      </c>
      <c r="B34" s="46" t="s">
        <v>747</v>
      </c>
      <c r="C34" s="28"/>
      <c r="D34" s="28">
        <f>15*C34*(D28/C28)*1.5</f>
        <v>0</v>
      </c>
    </row>
    <row r="35" spans="1:4" ht="15.75" customHeight="1" x14ac:dyDescent="0.25">
      <c r="A35" s="45" t="s">
        <v>748</v>
      </c>
      <c r="B35" s="46" t="s">
        <v>749</v>
      </c>
      <c r="C35" s="139">
        <f>'DADOS CCT'!D12</f>
        <v>0</v>
      </c>
      <c r="D35" s="28">
        <f>D28*C35</f>
        <v>0</v>
      </c>
    </row>
    <row r="36" spans="1:4" ht="15.75" customHeight="1" x14ac:dyDescent="0.25">
      <c r="A36" s="45" t="s">
        <v>750</v>
      </c>
      <c r="B36" s="46" t="s">
        <v>751</v>
      </c>
      <c r="C36" s="136"/>
      <c r="D36" s="28">
        <f>D$28*C36</f>
        <v>0</v>
      </c>
    </row>
    <row r="37" spans="1:4" ht="15.75" customHeight="1" thickBot="1" x14ac:dyDescent="0.3">
      <c r="A37" s="575" t="s">
        <v>752</v>
      </c>
      <c r="B37" s="576"/>
      <c r="C37" s="188"/>
      <c r="D37" s="189">
        <f>SUM(D33:D36)</f>
        <v>2156.7139999999999</v>
      </c>
    </row>
    <row r="38" spans="1:4" ht="24" customHeight="1" x14ac:dyDescent="0.25">
      <c r="A38" s="577" t="s">
        <v>1233</v>
      </c>
      <c r="B38" s="578"/>
      <c r="C38" s="8"/>
      <c r="D38" s="127"/>
    </row>
    <row r="39" spans="1:4" ht="8.1" customHeight="1" thickBot="1" x14ac:dyDescent="0.3">
      <c r="A39" s="7"/>
      <c r="B39" s="16"/>
      <c r="C39" s="8"/>
      <c r="D39" s="127"/>
    </row>
    <row r="40" spans="1:4" ht="18" customHeight="1" x14ac:dyDescent="0.25">
      <c r="A40" s="579" t="s">
        <v>753</v>
      </c>
      <c r="B40" s="580"/>
      <c r="C40" s="142"/>
      <c r="D40" s="187"/>
    </row>
    <row r="41" spans="1:4" ht="6" customHeight="1" x14ac:dyDescent="0.25">
      <c r="A41" s="125"/>
      <c r="B41" s="42"/>
      <c r="C41" s="126"/>
      <c r="D41" s="127"/>
    </row>
    <row r="42" spans="1:4" ht="15.75" customHeight="1" x14ac:dyDescent="0.25">
      <c r="A42" s="581" t="s">
        <v>754</v>
      </c>
      <c r="B42" s="572"/>
      <c r="C42" s="182"/>
      <c r="D42" s="183" t="s">
        <v>734</v>
      </c>
    </row>
    <row r="43" spans="1:4" ht="15" customHeight="1" x14ac:dyDescent="0.25">
      <c r="A43" s="45" t="s">
        <v>755</v>
      </c>
      <c r="B43" s="46" t="s">
        <v>756</v>
      </c>
      <c r="C43" s="136">
        <v>8.3299999999999999E-2</v>
      </c>
      <c r="D43" s="28">
        <f>D$33*C43</f>
        <v>179.6542762</v>
      </c>
    </row>
    <row r="44" spans="1:4" ht="15" customHeight="1" x14ac:dyDescent="0.25">
      <c r="A44" s="45" t="s">
        <v>757</v>
      </c>
      <c r="B44" s="46" t="s">
        <v>758</v>
      </c>
      <c r="C44" s="143">
        <v>3.0249999999999999E-2</v>
      </c>
      <c r="D44" s="28">
        <f>D$33*C44</f>
        <v>65.24059849999999</v>
      </c>
    </row>
    <row r="45" spans="1:4" ht="15.75" customHeight="1" x14ac:dyDescent="0.25">
      <c r="A45" s="582" t="s">
        <v>752</v>
      </c>
      <c r="B45" s="572"/>
      <c r="C45" s="186"/>
      <c r="D45" s="185">
        <f>SUM(D43:D44)</f>
        <v>244.8948747</v>
      </c>
    </row>
    <row r="46" spans="1:4" ht="37.5" customHeight="1" x14ac:dyDescent="0.25">
      <c r="A46" s="583" t="s">
        <v>759</v>
      </c>
      <c r="B46" s="584"/>
      <c r="C46" s="141"/>
      <c r="D46" s="41"/>
    </row>
    <row r="47" spans="1:4" ht="8.1" customHeight="1" x14ac:dyDescent="0.25">
      <c r="A47" s="125"/>
      <c r="B47" s="33"/>
      <c r="C47" s="126"/>
      <c r="D47" s="127"/>
    </row>
    <row r="48" spans="1:4" ht="15.75" customHeight="1" x14ac:dyDescent="0.25">
      <c r="A48" s="581" t="s">
        <v>760</v>
      </c>
      <c r="B48" s="572"/>
      <c r="C48" s="182"/>
      <c r="D48" s="183" t="s">
        <v>734</v>
      </c>
    </row>
    <row r="49" spans="1:4" ht="15" customHeight="1" x14ac:dyDescent="0.25">
      <c r="A49" s="45" t="s">
        <v>761</v>
      </c>
      <c r="B49" s="46" t="s">
        <v>762</v>
      </c>
      <c r="C49" s="136">
        <v>0.2</v>
      </c>
      <c r="D49" s="28">
        <f t="shared" ref="D49:D57" si="0">(D$33+D$45)*C49</f>
        <v>480.32177494000001</v>
      </c>
    </row>
    <row r="50" spans="1:4" ht="15" customHeight="1" x14ac:dyDescent="0.25">
      <c r="A50" s="45" t="s">
        <v>763</v>
      </c>
      <c r="B50" s="46" t="s">
        <v>764</v>
      </c>
      <c r="C50" s="136">
        <v>2.5000000000000001E-2</v>
      </c>
      <c r="D50" s="28">
        <f t="shared" si="0"/>
        <v>60.040221867500001</v>
      </c>
    </row>
    <row r="51" spans="1:4" ht="15" customHeight="1" x14ac:dyDescent="0.25">
      <c r="A51" s="45" t="s">
        <v>765</v>
      </c>
      <c r="B51" s="46" t="s">
        <v>766</v>
      </c>
      <c r="C51" s="144">
        <f>'DADOS CCT'!D$22*'DADOS CCT'!D$23</f>
        <v>0.06</v>
      </c>
      <c r="D51" s="28">
        <f t="shared" si="0"/>
        <v>144.09653248199999</v>
      </c>
    </row>
    <row r="52" spans="1:4" ht="15" customHeight="1" x14ac:dyDescent="0.25">
      <c r="A52" s="45" t="s">
        <v>767</v>
      </c>
      <c r="B52" s="46" t="s">
        <v>768</v>
      </c>
      <c r="C52" s="136">
        <v>1.4999999999999999E-2</v>
      </c>
      <c r="D52" s="28">
        <f t="shared" si="0"/>
        <v>36.024133120499997</v>
      </c>
    </row>
    <row r="53" spans="1:4" ht="15" customHeight="1" x14ac:dyDescent="0.25">
      <c r="A53" s="45" t="s">
        <v>769</v>
      </c>
      <c r="B53" s="46" t="s">
        <v>770</v>
      </c>
      <c r="C53" s="136">
        <v>0.01</v>
      </c>
      <c r="D53" s="28">
        <f t="shared" si="0"/>
        <v>24.016088746999998</v>
      </c>
    </row>
    <row r="54" spans="1:4" ht="15" customHeight="1" x14ac:dyDescent="0.25">
      <c r="A54" s="45" t="s">
        <v>771</v>
      </c>
      <c r="B54" s="46" t="s">
        <v>772</v>
      </c>
      <c r="C54" s="136">
        <v>6.0000000000000001E-3</v>
      </c>
      <c r="D54" s="28">
        <f t="shared" si="0"/>
        <v>14.4096532482</v>
      </c>
    </row>
    <row r="55" spans="1:4" ht="15" customHeight="1" x14ac:dyDescent="0.25">
      <c r="A55" s="45" t="s">
        <v>773</v>
      </c>
      <c r="B55" s="46" t="s">
        <v>774</v>
      </c>
      <c r="C55" s="136">
        <v>2E-3</v>
      </c>
      <c r="D55" s="28">
        <f t="shared" si="0"/>
        <v>4.8032177493999999</v>
      </c>
    </row>
    <row r="56" spans="1:4" ht="15" customHeight="1" x14ac:dyDescent="0.25">
      <c r="A56" s="45" t="s">
        <v>775</v>
      </c>
      <c r="B56" s="46" t="s">
        <v>776</v>
      </c>
      <c r="C56" s="136">
        <v>0.08</v>
      </c>
      <c r="D56" s="28">
        <f t="shared" si="0"/>
        <v>192.12870997599998</v>
      </c>
    </row>
    <row r="57" spans="1:4" ht="15" customHeight="1" x14ac:dyDescent="0.25">
      <c r="A57" s="45" t="s">
        <v>777</v>
      </c>
      <c r="B57" s="46" t="s">
        <v>778</v>
      </c>
      <c r="C57" s="136"/>
      <c r="D57" s="28">
        <f t="shared" si="0"/>
        <v>0</v>
      </c>
    </row>
    <row r="58" spans="1:4" ht="15.75" customHeight="1" x14ac:dyDescent="0.25">
      <c r="A58" s="585" t="s">
        <v>752</v>
      </c>
      <c r="B58" s="412"/>
      <c r="C58" s="137">
        <f>SUM(C49:C50,C51:C57)</f>
        <v>0.39800000000000008</v>
      </c>
      <c r="D58" s="138">
        <f>SUM(D49:D57)</f>
        <v>955.8403321305999</v>
      </c>
    </row>
    <row r="59" spans="1:4" ht="20.25" customHeight="1" x14ac:dyDescent="0.25">
      <c r="A59" s="583" t="s">
        <v>779</v>
      </c>
      <c r="B59" s="586"/>
      <c r="C59" s="141"/>
      <c r="D59" s="41"/>
    </row>
    <row r="60" spans="1:4" ht="8.1" customHeight="1" x14ac:dyDescent="0.25">
      <c r="A60" s="125"/>
      <c r="B60" s="33"/>
      <c r="C60" s="140"/>
      <c r="D60" s="127"/>
    </row>
    <row r="61" spans="1:4" ht="15.75" customHeight="1" x14ac:dyDescent="0.25">
      <c r="A61" s="581" t="s">
        <v>780</v>
      </c>
      <c r="B61" s="572"/>
      <c r="C61" s="182"/>
      <c r="D61" s="183" t="s">
        <v>734</v>
      </c>
    </row>
    <row r="62" spans="1:4" ht="15.75" customHeight="1" x14ac:dyDescent="0.25">
      <c r="A62" s="45" t="s">
        <v>781</v>
      </c>
      <c r="B62" s="46" t="s">
        <v>782</v>
      </c>
      <c r="C62" s="145"/>
      <c r="D62" s="138">
        <f>((C63*C64*C65)-D66)*C67</f>
        <v>80.597160000000002</v>
      </c>
    </row>
    <row r="63" spans="1:4" ht="15.75" customHeight="1" x14ac:dyDescent="0.25">
      <c r="A63" s="45" t="s">
        <v>783</v>
      </c>
      <c r="B63" s="46" t="s">
        <v>784</v>
      </c>
      <c r="C63" s="146">
        <f>'DADOS CCT'!D13</f>
        <v>5</v>
      </c>
      <c r="D63" s="28">
        <v>0</v>
      </c>
    </row>
    <row r="64" spans="1:4" ht="15.75" customHeight="1" x14ac:dyDescent="0.25">
      <c r="A64" s="45" t="s">
        <v>785</v>
      </c>
      <c r="B64" s="46" t="s">
        <v>786</v>
      </c>
      <c r="C64" s="28">
        <v>2</v>
      </c>
      <c r="D64" s="28">
        <v>0</v>
      </c>
    </row>
    <row r="65" spans="1:4" ht="15.75" customHeight="1" x14ac:dyDescent="0.25">
      <c r="A65" s="45" t="s">
        <v>787</v>
      </c>
      <c r="B65" s="46" t="s">
        <v>788</v>
      </c>
      <c r="C65" s="147">
        <f>C$18</f>
        <v>21</v>
      </c>
      <c r="D65" s="28">
        <v>0</v>
      </c>
    </row>
    <row r="66" spans="1:4" ht="15.75" customHeight="1" x14ac:dyDescent="0.25">
      <c r="A66" s="45" t="s">
        <v>789</v>
      </c>
      <c r="B66" s="46" t="s">
        <v>790</v>
      </c>
      <c r="C66" s="136">
        <v>0.06</v>
      </c>
      <c r="D66" s="28">
        <f>C66*D$28</f>
        <v>129.40284</v>
      </c>
    </row>
    <row r="67" spans="1:4" ht="15.75" customHeight="1" x14ac:dyDescent="0.25">
      <c r="A67" s="45" t="s">
        <v>791</v>
      </c>
      <c r="B67" s="46" t="s">
        <v>792</v>
      </c>
      <c r="C67" s="144">
        <f>'DADOS CCT'!D14</f>
        <v>1</v>
      </c>
      <c r="D67" s="28">
        <v>0</v>
      </c>
    </row>
    <row r="68" spans="1:4" ht="15.75" customHeight="1" x14ac:dyDescent="0.25">
      <c r="A68" s="45" t="s">
        <v>793</v>
      </c>
      <c r="B68" s="46" t="s">
        <v>794</v>
      </c>
      <c r="C68" s="136"/>
      <c r="D68" s="138">
        <f>(C69*C70)-D71</f>
        <v>402.79679999999996</v>
      </c>
    </row>
    <row r="69" spans="1:4" ht="15.75" customHeight="1" x14ac:dyDescent="0.25">
      <c r="A69" s="45" t="s">
        <v>795</v>
      </c>
      <c r="B69" s="46" t="s">
        <v>796</v>
      </c>
      <c r="C69" s="146">
        <f>'DADOS CCT'!D15</f>
        <v>23.68</v>
      </c>
      <c r="D69" s="28">
        <v>0</v>
      </c>
    </row>
    <row r="70" spans="1:4" ht="15.75" customHeight="1" x14ac:dyDescent="0.25">
      <c r="A70" s="45" t="s">
        <v>797</v>
      </c>
      <c r="B70" s="46" t="s">
        <v>798</v>
      </c>
      <c r="C70" s="147">
        <f>C$18</f>
        <v>21</v>
      </c>
      <c r="D70" s="28">
        <v>0</v>
      </c>
    </row>
    <row r="71" spans="1:4" ht="15.75" customHeight="1" x14ac:dyDescent="0.25">
      <c r="A71" s="45" t="s">
        <v>799</v>
      </c>
      <c r="B71" s="46" t="s">
        <v>800</v>
      </c>
      <c r="C71" s="144">
        <f>'DADOS CCT'!D17</f>
        <v>0.19</v>
      </c>
      <c r="D71" s="28">
        <f>(C69*C70)*C71</f>
        <v>94.483199999999997</v>
      </c>
    </row>
    <row r="72" spans="1:4" ht="15.75" customHeight="1" x14ac:dyDescent="0.25">
      <c r="A72" s="45" t="s">
        <v>801</v>
      </c>
      <c r="B72" s="46" t="s">
        <v>802</v>
      </c>
      <c r="C72" s="136"/>
      <c r="D72" s="208">
        <f>'DADOS CCT'!D$18</f>
        <v>19.420000000000002</v>
      </c>
    </row>
    <row r="73" spans="1:4" ht="15.75" customHeight="1" x14ac:dyDescent="0.25">
      <c r="A73" s="45" t="s">
        <v>803</v>
      </c>
      <c r="B73" s="46" t="s">
        <v>804</v>
      </c>
      <c r="C73" s="136"/>
      <c r="D73" s="28">
        <v>0</v>
      </c>
    </row>
    <row r="74" spans="1:4" ht="15.75" customHeight="1" x14ac:dyDescent="0.25">
      <c r="A74" s="45" t="s">
        <v>805</v>
      </c>
      <c r="B74" s="46" t="s">
        <v>778</v>
      </c>
      <c r="C74" s="136"/>
      <c r="D74" s="28">
        <v>0</v>
      </c>
    </row>
    <row r="75" spans="1:4" ht="15.75" customHeight="1" x14ac:dyDescent="0.25">
      <c r="A75" s="582" t="s">
        <v>752</v>
      </c>
      <c r="B75" s="572"/>
      <c r="C75" s="184"/>
      <c r="D75" s="185">
        <f>SUM(D62,D68,D72:D74)</f>
        <v>502.81396000000001</v>
      </c>
    </row>
    <row r="76" spans="1:4" ht="38.25" customHeight="1" x14ac:dyDescent="0.25">
      <c r="A76" s="583" t="s">
        <v>1102</v>
      </c>
      <c r="B76" s="586"/>
      <c r="C76" s="40"/>
      <c r="D76" s="41"/>
    </row>
    <row r="77" spans="1:4" ht="8.1" customHeight="1" x14ac:dyDescent="0.25">
      <c r="A77" s="125"/>
      <c r="B77" s="33"/>
      <c r="C77" s="140"/>
      <c r="D77" s="127"/>
    </row>
    <row r="78" spans="1:4" ht="15.75" customHeight="1" x14ac:dyDescent="0.25">
      <c r="A78" s="581" t="s">
        <v>806</v>
      </c>
      <c r="B78" s="572"/>
      <c r="C78" s="182"/>
      <c r="D78" s="183" t="s">
        <v>734</v>
      </c>
    </row>
    <row r="79" spans="1:4" ht="15.75" customHeight="1" x14ac:dyDescent="0.25">
      <c r="A79" s="45" t="s">
        <v>807</v>
      </c>
      <c r="B79" s="46" t="s">
        <v>808</v>
      </c>
      <c r="C79" s="136"/>
      <c r="D79" s="28">
        <f>D45</f>
        <v>244.8948747</v>
      </c>
    </row>
    <row r="80" spans="1:4" ht="15.75" customHeight="1" x14ac:dyDescent="0.25">
      <c r="A80" s="45" t="s">
        <v>809</v>
      </c>
      <c r="B80" s="46" t="s">
        <v>810</v>
      </c>
      <c r="C80" s="28"/>
      <c r="D80" s="28">
        <f>D58</f>
        <v>955.8403321305999</v>
      </c>
    </row>
    <row r="81" spans="1:4" ht="15.75" customHeight="1" x14ac:dyDescent="0.25">
      <c r="A81" s="45" t="s">
        <v>811</v>
      </c>
      <c r="B81" s="46" t="s">
        <v>812</v>
      </c>
      <c r="C81" s="28"/>
      <c r="D81" s="28">
        <f>D75</f>
        <v>502.81396000000001</v>
      </c>
    </row>
    <row r="82" spans="1:4" ht="15.75" customHeight="1" thickBot="1" x14ac:dyDescent="0.3">
      <c r="A82" s="589" t="s">
        <v>752</v>
      </c>
      <c r="B82" s="590"/>
      <c r="C82" s="180"/>
      <c r="D82" s="181">
        <f>SUM(D79:D81)</f>
        <v>1703.5491668305999</v>
      </c>
    </row>
    <row r="83" spans="1:4" ht="8.1" customHeight="1" x14ac:dyDescent="0.25">
      <c r="A83" s="148"/>
      <c r="B83" s="149"/>
      <c r="C83" s="40"/>
      <c r="D83" s="41"/>
    </row>
    <row r="84" spans="1:4" ht="8.1" customHeight="1" thickBot="1" x14ac:dyDescent="0.3">
      <c r="A84" s="4"/>
      <c r="B84" s="1"/>
      <c r="C84" s="22"/>
      <c r="D84" s="6"/>
    </row>
    <row r="85" spans="1:4" ht="18" customHeight="1" x14ac:dyDescent="0.25">
      <c r="A85" s="591" t="s">
        <v>813</v>
      </c>
      <c r="B85" s="592"/>
      <c r="C85" s="12"/>
      <c r="D85" s="150" t="s">
        <v>734</v>
      </c>
    </row>
    <row r="86" spans="1:4" ht="15.75" customHeight="1" x14ac:dyDescent="0.25">
      <c r="A86" s="209" t="s">
        <v>814</v>
      </c>
      <c r="B86" s="210" t="s">
        <v>815</v>
      </c>
      <c r="C86" s="211">
        <v>0.05</v>
      </c>
      <c r="D86" s="212">
        <f>(D$33/$C$11)*C86*C89</f>
        <v>8.9863083333333336</v>
      </c>
    </row>
    <row r="87" spans="1:4" ht="15.75" customHeight="1" x14ac:dyDescent="0.25">
      <c r="A87" s="209" t="s">
        <v>816</v>
      </c>
      <c r="B87" s="210" t="s">
        <v>817</v>
      </c>
      <c r="C87" s="211">
        <f>C56</f>
        <v>0.08</v>
      </c>
      <c r="D87" s="212">
        <f>D86*C87</f>
        <v>0.71890466666666675</v>
      </c>
    </row>
    <row r="88" spans="1:4" ht="15.75" customHeight="1" x14ac:dyDescent="0.25">
      <c r="A88" s="209" t="s">
        <v>818</v>
      </c>
      <c r="B88" s="210" t="s">
        <v>819</v>
      </c>
      <c r="C88" s="211">
        <v>0.04</v>
      </c>
      <c r="D88" s="212">
        <f>D$33*C88</f>
        <v>86.268559999999994</v>
      </c>
    </row>
    <row r="89" spans="1:4" ht="15.75" customHeight="1" x14ac:dyDescent="0.25">
      <c r="A89" s="213" t="s">
        <v>820</v>
      </c>
      <c r="B89" s="214" t="s">
        <v>821</v>
      </c>
      <c r="C89" s="215">
        <v>1</v>
      </c>
      <c r="D89" s="216">
        <v>0</v>
      </c>
    </row>
    <row r="90" spans="1:4" ht="15.75" customHeight="1" x14ac:dyDescent="0.25">
      <c r="A90" s="18" t="s">
        <v>822</v>
      </c>
      <c r="B90" s="13" t="s">
        <v>823</v>
      </c>
      <c r="C90" s="15">
        <v>0.9</v>
      </c>
      <c r="D90" s="14">
        <f>(((D$33/30)*7)/12)*C90*C93</f>
        <v>37.742495000000005</v>
      </c>
    </row>
    <row r="91" spans="1:4" ht="15.75" customHeight="1" x14ac:dyDescent="0.25">
      <c r="A91" s="18" t="s">
        <v>820</v>
      </c>
      <c r="B91" s="13" t="s">
        <v>824</v>
      </c>
      <c r="C91" s="15">
        <f>C58</f>
        <v>0.39800000000000008</v>
      </c>
      <c r="D91" s="14">
        <f>D90*C91</f>
        <v>15.021513010000005</v>
      </c>
    </row>
    <row r="92" spans="1:4" ht="15.75" customHeight="1" x14ac:dyDescent="0.25">
      <c r="A92" s="18" t="s">
        <v>822</v>
      </c>
      <c r="B92" s="13" t="s">
        <v>825</v>
      </c>
      <c r="C92" s="17">
        <v>3.8080000000000003E-2</v>
      </c>
      <c r="D92" s="14">
        <f>D$33*C92</f>
        <v>82.127669120000007</v>
      </c>
    </row>
    <row r="93" spans="1:4" ht="15.75" customHeight="1" x14ac:dyDescent="0.25">
      <c r="A93" s="66" t="s">
        <v>826</v>
      </c>
      <c r="B93" s="34" t="s">
        <v>827</v>
      </c>
      <c r="C93" s="67">
        <v>1</v>
      </c>
      <c r="D93" s="35">
        <v>0</v>
      </c>
    </row>
    <row r="94" spans="1:4" ht="15.75" customHeight="1" thickBot="1" x14ac:dyDescent="0.3">
      <c r="A94" s="593" t="s">
        <v>752</v>
      </c>
      <c r="B94" s="594"/>
      <c r="C94" s="172"/>
      <c r="D94" s="173">
        <f>SUM(D86:D88,D90:D92)</f>
        <v>230.86545013000003</v>
      </c>
    </row>
    <row r="95" spans="1:4" ht="57.75" customHeight="1" x14ac:dyDescent="0.25">
      <c r="A95" s="577" t="s">
        <v>828</v>
      </c>
      <c r="B95" s="578"/>
      <c r="C95" s="3"/>
      <c r="D95" s="41"/>
    </row>
    <row r="96" spans="1:4" ht="15.95" customHeight="1" thickBot="1" x14ac:dyDescent="0.3">
      <c r="A96" s="4"/>
      <c r="B96" s="1"/>
      <c r="C96" s="22"/>
      <c r="D96" s="6"/>
    </row>
    <row r="97" spans="1:4" ht="18" customHeight="1" x14ac:dyDescent="0.25">
      <c r="A97" s="591" t="s">
        <v>829</v>
      </c>
      <c r="B97" s="592"/>
      <c r="C97" s="12"/>
      <c r="D97" s="150" t="s">
        <v>734</v>
      </c>
    </row>
    <row r="98" spans="1:4" ht="8.1" customHeight="1" x14ac:dyDescent="0.25">
      <c r="A98" s="7"/>
      <c r="C98" s="8"/>
      <c r="D98" s="127"/>
    </row>
    <row r="99" spans="1:4" ht="15.75" customHeight="1" x14ac:dyDescent="0.25">
      <c r="A99" s="587" t="s">
        <v>830</v>
      </c>
      <c r="B99" s="588"/>
      <c r="C99" s="151"/>
      <c r="D99" s="152">
        <f>SUM(D33,D45,D102)</f>
        <v>2597.3306702</v>
      </c>
    </row>
    <row r="100" spans="1:4" ht="8.1" customHeight="1" x14ac:dyDescent="0.25">
      <c r="A100" s="7"/>
      <c r="C100" s="8"/>
      <c r="D100" s="127"/>
    </row>
    <row r="101" spans="1:4" ht="15.75" customHeight="1" x14ac:dyDescent="0.25">
      <c r="A101" s="587" t="s">
        <v>831</v>
      </c>
      <c r="B101" s="588"/>
      <c r="C101" s="151"/>
      <c r="D101" s="152" t="s">
        <v>734</v>
      </c>
    </row>
    <row r="102" spans="1:4" ht="15.75" customHeight="1" x14ac:dyDescent="0.25">
      <c r="A102" s="18" t="s">
        <v>832</v>
      </c>
      <c r="B102" s="13" t="s">
        <v>833</v>
      </c>
      <c r="C102" s="17">
        <v>9.0749999999999997E-2</v>
      </c>
      <c r="D102" s="14">
        <f>D$33*C102</f>
        <v>195.72179549999998</v>
      </c>
    </row>
    <row r="103" spans="1:4" ht="15.75" customHeight="1" x14ac:dyDescent="0.25">
      <c r="A103" s="18" t="s">
        <v>834</v>
      </c>
      <c r="B103" s="13" t="s">
        <v>835</v>
      </c>
      <c r="C103" s="14">
        <v>1</v>
      </c>
      <c r="D103" s="14">
        <f>((D99/30)*C103)/12</f>
        <v>7.2148074172222216</v>
      </c>
    </row>
    <row r="104" spans="1:4" ht="15.75" customHeight="1" x14ac:dyDescent="0.25">
      <c r="A104" s="18" t="s">
        <v>836</v>
      </c>
      <c r="B104" s="13" t="s">
        <v>837</v>
      </c>
      <c r="C104" s="15">
        <v>1.4999999999999999E-2</v>
      </c>
      <c r="D104" s="14">
        <f>((D99/30)*5/12)*C104</f>
        <v>0.5411105562916666</v>
      </c>
    </row>
    <row r="105" spans="1:4" ht="15.75" customHeight="1" x14ac:dyDescent="0.25">
      <c r="A105" s="18" t="s">
        <v>838</v>
      </c>
      <c r="B105" s="13" t="s">
        <v>839</v>
      </c>
      <c r="C105" s="15">
        <v>7.7999999999999996E-3</v>
      </c>
      <c r="D105" s="14">
        <f>((D99/30)*15/12)*C105</f>
        <v>0.84413246781499995</v>
      </c>
    </row>
    <row r="106" spans="1:4" ht="15.75" customHeight="1" x14ac:dyDescent="0.25">
      <c r="A106" s="18" t="s">
        <v>840</v>
      </c>
      <c r="B106" s="13" t="s">
        <v>841</v>
      </c>
      <c r="C106" s="15">
        <v>0.02</v>
      </c>
      <c r="D106" s="14">
        <f>(((D33+(D33/3))/12)*(4/12))*C106</f>
        <v>1.5975659259259261</v>
      </c>
    </row>
    <row r="107" spans="1:4" ht="15.75" customHeight="1" x14ac:dyDescent="0.25">
      <c r="A107" s="18" t="s">
        <v>842</v>
      </c>
      <c r="B107" s="13" t="s">
        <v>843</v>
      </c>
      <c r="C107" s="14">
        <v>3</v>
      </c>
      <c r="D107" s="14">
        <f>((D99/30)*C107)/12</f>
        <v>21.644422251666665</v>
      </c>
    </row>
    <row r="108" spans="1:4" ht="15.75" customHeight="1" x14ac:dyDescent="0.25">
      <c r="A108" s="18" t="s">
        <v>844</v>
      </c>
      <c r="B108" s="13" t="s">
        <v>845</v>
      </c>
      <c r="C108" s="14"/>
      <c r="D108" s="14">
        <f>((D99/30)*C108)/12</f>
        <v>0</v>
      </c>
    </row>
    <row r="109" spans="1:4" ht="15.75" customHeight="1" x14ac:dyDescent="0.25">
      <c r="A109" s="595" t="s">
        <v>752</v>
      </c>
      <c r="B109" s="588"/>
      <c r="C109" s="175"/>
      <c r="D109" s="44">
        <f>SUM(D102:D107)</f>
        <v>227.56383411892148</v>
      </c>
    </row>
    <row r="110" spans="1:4" ht="15.75" customHeight="1" x14ac:dyDescent="0.25">
      <c r="A110" s="18" t="s">
        <v>846</v>
      </c>
      <c r="B110" s="13" t="s">
        <v>847</v>
      </c>
      <c r="C110" s="15">
        <f>C58</f>
        <v>0.39800000000000008</v>
      </c>
      <c r="D110" s="14">
        <f>D109*C110</f>
        <v>90.570405979330772</v>
      </c>
    </row>
    <row r="111" spans="1:4" ht="15.75" customHeight="1" x14ac:dyDescent="0.25">
      <c r="A111" s="596" t="s">
        <v>752</v>
      </c>
      <c r="B111" s="588"/>
      <c r="C111" s="179"/>
      <c r="D111" s="178">
        <f>SUM(D109:D110)</f>
        <v>318.13424009825223</v>
      </c>
    </row>
    <row r="112" spans="1:4" ht="61.5" customHeight="1" x14ac:dyDescent="0.25">
      <c r="A112" s="577" t="s">
        <v>848</v>
      </c>
      <c r="B112" s="578"/>
      <c r="C112" s="3"/>
      <c r="D112" s="41"/>
    </row>
    <row r="113" spans="1:4" ht="8.1" customHeight="1" x14ac:dyDescent="0.25">
      <c r="A113" s="125"/>
      <c r="B113" s="42"/>
      <c r="C113" s="140"/>
      <c r="D113" s="127"/>
    </row>
    <row r="114" spans="1:4" ht="15.75" customHeight="1" x14ac:dyDescent="0.25">
      <c r="A114" s="587" t="s">
        <v>849</v>
      </c>
      <c r="B114" s="588"/>
      <c r="C114" s="151"/>
      <c r="D114" s="152" t="s">
        <v>734</v>
      </c>
    </row>
    <row r="115" spans="1:4" ht="15.75" customHeight="1" x14ac:dyDescent="0.25">
      <c r="A115" s="18" t="s">
        <v>850</v>
      </c>
      <c r="B115" s="13" t="s">
        <v>851</v>
      </c>
      <c r="C115" s="14">
        <v>0</v>
      </c>
      <c r="D115" s="14">
        <f>((D$37+D$82)/C$28)*C115*C$18</f>
        <v>0</v>
      </c>
    </row>
    <row r="116" spans="1:4" ht="15.75" customHeight="1" x14ac:dyDescent="0.25">
      <c r="A116" s="18" t="s">
        <v>852</v>
      </c>
      <c r="B116" s="13" t="s">
        <v>853</v>
      </c>
      <c r="C116" s="15">
        <f>C58</f>
        <v>0.39800000000000008</v>
      </c>
      <c r="D116" s="14">
        <f>D115*C116</f>
        <v>0</v>
      </c>
    </row>
    <row r="117" spans="1:4" ht="15.75" customHeight="1" x14ac:dyDescent="0.25">
      <c r="A117" s="596" t="s">
        <v>752</v>
      </c>
      <c r="B117" s="588"/>
      <c r="C117" s="177"/>
      <c r="D117" s="178">
        <f>SUM(D115:D116)</f>
        <v>0</v>
      </c>
    </row>
    <row r="118" spans="1:4" ht="8.1" customHeight="1" x14ac:dyDescent="0.25">
      <c r="A118" s="577"/>
      <c r="B118" s="578"/>
      <c r="C118" s="3"/>
      <c r="D118" s="41"/>
    </row>
    <row r="119" spans="1:4" ht="8.1" customHeight="1" x14ac:dyDescent="0.25">
      <c r="A119" s="7"/>
      <c r="C119" s="20"/>
      <c r="D119" s="127"/>
    </row>
    <row r="120" spans="1:4" ht="15.75" customHeight="1" x14ac:dyDescent="0.25">
      <c r="A120" s="587" t="s">
        <v>854</v>
      </c>
      <c r="B120" s="588"/>
      <c r="C120" s="151"/>
      <c r="D120" s="152" t="s">
        <v>734</v>
      </c>
    </row>
    <row r="121" spans="1:4" ht="15.75" customHeight="1" x14ac:dyDescent="0.25">
      <c r="A121" s="18" t="s">
        <v>855</v>
      </c>
      <c r="B121" s="13" t="s">
        <v>856</v>
      </c>
      <c r="C121" s="15"/>
      <c r="D121" s="14">
        <f>D111</f>
        <v>318.13424009825223</v>
      </c>
    </row>
    <row r="122" spans="1:4" ht="15.75" customHeight="1" x14ac:dyDescent="0.25">
      <c r="A122" s="18" t="s">
        <v>857</v>
      </c>
      <c r="B122" s="13" t="s">
        <v>858</v>
      </c>
      <c r="C122" s="14"/>
      <c r="D122" s="14">
        <f>D117</f>
        <v>0</v>
      </c>
    </row>
    <row r="123" spans="1:4" ht="15.75" customHeight="1" thickBot="1" x14ac:dyDescent="0.3">
      <c r="A123" s="593" t="s">
        <v>752</v>
      </c>
      <c r="B123" s="594"/>
      <c r="C123" s="172"/>
      <c r="D123" s="173">
        <f>SUM(D121:D122)</f>
        <v>318.13424009825223</v>
      </c>
    </row>
    <row r="124" spans="1:4" ht="8.1" customHeight="1" x14ac:dyDescent="0.25">
      <c r="A124" s="153"/>
      <c r="B124" s="154"/>
      <c r="C124" s="155"/>
      <c r="D124" s="156"/>
    </row>
    <row r="125" spans="1:4" ht="8.1" customHeight="1" thickBot="1" x14ac:dyDescent="0.3">
      <c r="A125" s="125"/>
      <c r="B125" s="42"/>
      <c r="C125" s="140"/>
      <c r="D125" s="127"/>
    </row>
    <row r="126" spans="1:4" ht="18" customHeight="1" x14ac:dyDescent="0.25">
      <c r="A126" s="591" t="s">
        <v>859</v>
      </c>
      <c r="B126" s="592"/>
      <c r="C126" s="12"/>
      <c r="D126" s="150" t="s">
        <v>734</v>
      </c>
    </row>
    <row r="127" spans="1:4" ht="15.75" customHeight="1" x14ac:dyDescent="0.25">
      <c r="A127" s="174" t="s">
        <v>860</v>
      </c>
      <c r="B127" s="175" t="s">
        <v>861</v>
      </c>
      <c r="C127" s="176"/>
      <c r="D127" s="44">
        <f>tbUNIFORMESE[[#Totals],[VL. MENSAL]]</f>
        <v>146.43166666666664</v>
      </c>
    </row>
    <row r="128" spans="1:4" ht="15.75" customHeight="1" x14ac:dyDescent="0.25">
      <c r="A128" s="174" t="s">
        <v>862</v>
      </c>
      <c r="B128" s="175" t="s">
        <v>863</v>
      </c>
      <c r="C128" s="176"/>
      <c r="D128" s="44">
        <v>0</v>
      </c>
    </row>
    <row r="129" spans="1:4" ht="15.75" customHeight="1" x14ac:dyDescent="0.25">
      <c r="A129" s="174" t="s">
        <v>864</v>
      </c>
      <c r="B129" s="175" t="s">
        <v>865</v>
      </c>
      <c r="C129" s="176"/>
      <c r="D129" s="44">
        <v>0</v>
      </c>
    </row>
    <row r="130" spans="1:4" ht="15.75" customHeight="1" x14ac:dyDescent="0.25">
      <c r="A130" s="174" t="s">
        <v>866</v>
      </c>
      <c r="B130" s="175" t="s">
        <v>867</v>
      </c>
      <c r="C130" s="176"/>
      <c r="D130" s="44">
        <v>0</v>
      </c>
    </row>
    <row r="131" spans="1:4" ht="15.75" customHeight="1" thickBot="1" x14ac:dyDescent="0.3">
      <c r="A131" s="593" t="s">
        <v>752</v>
      </c>
      <c r="B131" s="594"/>
      <c r="C131" s="172"/>
      <c r="D131" s="173">
        <f>SUM(D127:D130)</f>
        <v>146.43166666666664</v>
      </c>
    </row>
    <row r="132" spans="1:4" ht="15.95" customHeight="1" thickBot="1" x14ac:dyDescent="0.3">
      <c r="A132" s="4"/>
      <c r="B132" s="1"/>
      <c r="C132" s="22"/>
      <c r="D132" s="6"/>
    </row>
    <row r="133" spans="1:4" ht="18" customHeight="1" x14ac:dyDescent="0.25">
      <c r="A133" s="591" t="s">
        <v>868</v>
      </c>
      <c r="B133" s="592"/>
      <c r="C133" s="12"/>
      <c r="D133" s="150" t="s">
        <v>734</v>
      </c>
    </row>
    <row r="134" spans="1:4" ht="8.1" customHeight="1" x14ac:dyDescent="0.25">
      <c r="A134" s="7"/>
      <c r="C134" s="8"/>
      <c r="D134" s="127"/>
    </row>
    <row r="135" spans="1:4" ht="15.75" customHeight="1" x14ac:dyDescent="0.25">
      <c r="A135" s="587" t="s">
        <v>869</v>
      </c>
      <c r="B135" s="588"/>
      <c r="C135" s="151"/>
      <c r="D135" s="152">
        <f>SUM(D37,D82,D94,D123,D131)</f>
        <v>4555.6945237255186</v>
      </c>
    </row>
    <row r="136" spans="1:4" ht="8.1" customHeight="1" x14ac:dyDescent="0.25">
      <c r="A136" s="7"/>
      <c r="C136" s="8"/>
      <c r="D136" s="127"/>
    </row>
    <row r="137" spans="1:4" ht="15.75" customHeight="1" x14ac:dyDescent="0.25">
      <c r="A137" s="66" t="s">
        <v>870</v>
      </c>
      <c r="B137" s="34" t="s">
        <v>871</v>
      </c>
      <c r="C137" s="67">
        <v>0.05</v>
      </c>
      <c r="D137" s="35">
        <f>D$135*C137</f>
        <v>227.78472618627595</v>
      </c>
    </row>
    <row r="138" spans="1:4" ht="15.75" customHeight="1" x14ac:dyDescent="0.25">
      <c r="A138" s="66" t="s">
        <v>872</v>
      </c>
      <c r="B138" s="34" t="s">
        <v>873</v>
      </c>
      <c r="C138" s="67">
        <v>0.1</v>
      </c>
      <c r="D138" s="35">
        <f>SUM(D135,D137)*C138</f>
        <v>478.34792499117953</v>
      </c>
    </row>
    <row r="139" spans="1:4" ht="8.1" customHeight="1" x14ac:dyDescent="0.25">
      <c r="A139" s="7"/>
      <c r="C139" s="8"/>
      <c r="D139" s="127"/>
    </row>
    <row r="140" spans="1:4" ht="15.75" customHeight="1" x14ac:dyDescent="0.25">
      <c r="A140" s="587" t="s">
        <v>874</v>
      </c>
      <c r="B140" s="588"/>
      <c r="C140" s="151"/>
      <c r="D140" s="152">
        <f>SUM(D135,D137:D138)</f>
        <v>5261.8271749029745</v>
      </c>
    </row>
    <row r="141" spans="1:4" ht="8.1" customHeight="1" x14ac:dyDescent="0.25">
      <c r="A141" s="7"/>
      <c r="C141" s="8"/>
      <c r="D141" s="127"/>
    </row>
    <row r="142" spans="1:4" ht="15.75" customHeight="1" x14ac:dyDescent="0.25">
      <c r="A142" s="18" t="s">
        <v>875</v>
      </c>
      <c r="B142" s="13" t="s">
        <v>876</v>
      </c>
      <c r="C142" s="19">
        <f>'DADOS CCT'!D21</f>
        <v>7.5999999999999998E-2</v>
      </c>
      <c r="D142" s="14">
        <f>(D$140/(1-C$146))*C142</f>
        <v>460.97851906930958</v>
      </c>
    </row>
    <row r="143" spans="1:4" ht="15.75" customHeight="1" x14ac:dyDescent="0.25">
      <c r="A143" s="18" t="s">
        <v>877</v>
      </c>
      <c r="B143" s="13" t="s">
        <v>878</v>
      </c>
      <c r="C143" s="19">
        <f>'DADOS CCT'!D20</f>
        <v>1.6500000000000001E-2</v>
      </c>
      <c r="D143" s="14">
        <f>(D$140/(1-C$146))*C143</f>
        <v>100.08086269267906</v>
      </c>
    </row>
    <row r="144" spans="1:4" ht="15.75" customHeight="1" x14ac:dyDescent="0.25">
      <c r="A144" s="18" t="s">
        <v>879</v>
      </c>
      <c r="B144" s="13" t="s">
        <v>880</v>
      </c>
      <c r="C144" s="15"/>
      <c r="D144" s="14">
        <f>(D$140/(1-C$146))*C144</f>
        <v>0</v>
      </c>
    </row>
    <row r="145" spans="1:4" ht="15.75" customHeight="1" x14ac:dyDescent="0.25">
      <c r="A145" s="18" t="s">
        <v>881</v>
      </c>
      <c r="B145" s="13" t="s">
        <v>882</v>
      </c>
      <c r="C145" s="19">
        <f>'DADOS CCT'!D19</f>
        <v>0.04</v>
      </c>
      <c r="D145" s="14">
        <f>(D$140/(1-C$146))*C145</f>
        <v>242.62027319437348</v>
      </c>
    </row>
    <row r="146" spans="1:4" ht="15.75" customHeight="1" thickBot="1" x14ac:dyDescent="0.3">
      <c r="A146" s="599" t="s">
        <v>752</v>
      </c>
      <c r="B146" s="600"/>
      <c r="C146" s="43">
        <f>SUM(C142:C145)</f>
        <v>0.13250000000000001</v>
      </c>
      <c r="D146" s="39">
        <f>SUM(D137:D138,D142:D145)</f>
        <v>1509.8123061338179</v>
      </c>
    </row>
    <row r="147" spans="1:4" ht="15.95" customHeight="1" thickBot="1" x14ac:dyDescent="0.3">
      <c r="A147" s="4"/>
      <c r="B147" s="1"/>
      <c r="C147" s="22"/>
      <c r="D147" s="6"/>
    </row>
    <row r="148" spans="1:4" ht="18" customHeight="1" x14ac:dyDescent="0.25">
      <c r="A148" s="601" t="s">
        <v>883</v>
      </c>
      <c r="B148" s="602"/>
      <c r="C148" s="170"/>
      <c r="D148" s="171" t="s">
        <v>734</v>
      </c>
    </row>
    <row r="149" spans="1:4" ht="15.75" customHeight="1" x14ac:dyDescent="0.25">
      <c r="A149" s="45"/>
      <c r="B149" s="46" t="s">
        <v>884</v>
      </c>
      <c r="C149" s="136"/>
      <c r="D149" s="28">
        <f>D37</f>
        <v>2156.7139999999999</v>
      </c>
    </row>
    <row r="150" spans="1:4" ht="15.75" customHeight="1" x14ac:dyDescent="0.25">
      <c r="A150" s="45"/>
      <c r="B150" s="46" t="s">
        <v>885</v>
      </c>
      <c r="C150" s="136"/>
      <c r="D150" s="28">
        <f>D82</f>
        <v>1703.5491668305999</v>
      </c>
    </row>
    <row r="151" spans="1:4" ht="15.75" customHeight="1" x14ac:dyDescent="0.25">
      <c r="A151" s="45"/>
      <c r="B151" s="46" t="s">
        <v>886</v>
      </c>
      <c r="C151" s="143"/>
      <c r="D151" s="28">
        <f>D94</f>
        <v>230.86545013000003</v>
      </c>
    </row>
    <row r="152" spans="1:4" ht="15.75" customHeight="1" x14ac:dyDescent="0.25">
      <c r="A152" s="45"/>
      <c r="B152" s="46" t="s">
        <v>887</v>
      </c>
      <c r="C152" s="136"/>
      <c r="D152" s="28">
        <f>D123</f>
        <v>318.13424009825223</v>
      </c>
    </row>
    <row r="153" spans="1:4" ht="15.75" customHeight="1" x14ac:dyDescent="0.25">
      <c r="A153" s="45"/>
      <c r="B153" s="46" t="s">
        <v>888</v>
      </c>
      <c r="C153" s="136"/>
      <c r="D153" s="28">
        <f>D131</f>
        <v>146.43166666666664</v>
      </c>
    </row>
    <row r="154" spans="1:4" ht="15.75" customHeight="1" x14ac:dyDescent="0.25">
      <c r="A154" s="585" t="s">
        <v>752</v>
      </c>
      <c r="B154" s="412"/>
      <c r="C154" s="137"/>
      <c r="D154" s="138">
        <f>SUM(D149:D153)</f>
        <v>4555.6945237255186</v>
      </c>
    </row>
    <row r="155" spans="1:4" ht="15.75" customHeight="1" x14ac:dyDescent="0.25">
      <c r="A155" s="45"/>
      <c r="B155" s="46" t="s">
        <v>889</v>
      </c>
      <c r="C155" s="143"/>
      <c r="D155" s="28">
        <f>D146</f>
        <v>1509.8123061338179</v>
      </c>
    </row>
    <row r="156" spans="1:4" ht="15.75" customHeight="1" thickBot="1" x14ac:dyDescent="0.35">
      <c r="A156" s="603" t="s">
        <v>890</v>
      </c>
      <c r="B156" s="604"/>
      <c r="C156" s="168"/>
      <c r="D156" s="169">
        <f>TRUNC(SUM(D154:D155),2)</f>
        <v>6065.5</v>
      </c>
    </row>
    <row r="157" spans="1:4" ht="8.1" customHeight="1" thickBot="1" x14ac:dyDescent="0.3">
      <c r="A157" s="9"/>
      <c r="B157" s="10"/>
      <c r="C157" s="21"/>
      <c r="D157" s="11"/>
    </row>
    <row r="158" spans="1:4" ht="15.75" customHeight="1" thickBot="1" x14ac:dyDescent="0.3">
      <c r="A158" s="605" t="s">
        <v>891</v>
      </c>
      <c r="B158" s="470"/>
      <c r="C158" s="166"/>
      <c r="D158" s="167">
        <v>1</v>
      </c>
    </row>
    <row r="159" spans="1:4" ht="8.1" customHeight="1" thickBot="1" x14ac:dyDescent="0.3">
      <c r="A159" s="9"/>
      <c r="B159" s="10"/>
      <c r="C159" s="21"/>
      <c r="D159" s="11"/>
    </row>
    <row r="160" spans="1:4" ht="15.75" customHeight="1" thickBot="1" x14ac:dyDescent="0.35">
      <c r="A160" s="597" t="s">
        <v>892</v>
      </c>
      <c r="B160" s="598"/>
      <c r="C160" s="164"/>
      <c r="D160" s="165">
        <f>TRUNC(D156*D158,2)</f>
        <v>6065.5</v>
      </c>
    </row>
    <row r="161" spans="1:4" ht="15.95" customHeight="1" thickBot="1" x14ac:dyDescent="0.3"/>
    <row r="162" spans="1:4" ht="15.75" customHeight="1" thickBot="1" x14ac:dyDescent="0.35">
      <c r="A162" s="561" t="s">
        <v>893</v>
      </c>
      <c r="B162" s="562"/>
      <c r="C162" s="162"/>
      <c r="D162" s="163">
        <f>D156/D37</f>
        <v>2.8123803156097655</v>
      </c>
    </row>
    <row r="163" spans="1:4" ht="15.95" customHeight="1" thickBot="1" x14ac:dyDescent="0.3">
      <c r="A163" s="33"/>
      <c r="B163" s="33"/>
      <c r="C163" s="33"/>
    </row>
    <row r="164" spans="1:4" ht="15.75" customHeight="1" x14ac:dyDescent="0.3">
      <c r="A164" s="551" t="s">
        <v>894</v>
      </c>
      <c r="B164" s="551"/>
      <c r="C164" s="160"/>
      <c r="D164" s="161"/>
    </row>
    <row r="165" spans="1:4" ht="15" customHeight="1" thickBot="1" x14ac:dyDescent="0.3">
      <c r="A165" s="157"/>
      <c r="B165" s="157" t="s">
        <v>895</v>
      </c>
      <c r="C165" s="157"/>
      <c r="D165" s="158">
        <f>TRUNC(D156/C$18,2)</f>
        <v>288.83</v>
      </c>
    </row>
  </sheetData>
  <mergeCells count="65">
    <mergeCell ref="A156:B156"/>
    <mergeCell ref="A158:B158"/>
    <mergeCell ref="A160:B160"/>
    <mergeCell ref="A162:B162"/>
    <mergeCell ref="A164:B164"/>
    <mergeCell ref="A154:B154"/>
    <mergeCell ref="A117:B117"/>
    <mergeCell ref="A118:B118"/>
    <mergeCell ref="A120:B120"/>
    <mergeCell ref="A123:B123"/>
    <mergeCell ref="A126:B126"/>
    <mergeCell ref="A131:B131"/>
    <mergeCell ref="A133:B133"/>
    <mergeCell ref="A135:B135"/>
    <mergeCell ref="A140:B140"/>
    <mergeCell ref="A146:B146"/>
    <mergeCell ref="A148:B148"/>
    <mergeCell ref="A114:B114"/>
    <mergeCell ref="A78:B78"/>
    <mergeCell ref="A82:B82"/>
    <mergeCell ref="A85:B85"/>
    <mergeCell ref="A94:B94"/>
    <mergeCell ref="A95:B95"/>
    <mergeCell ref="A97:B97"/>
    <mergeCell ref="A99:B99"/>
    <mergeCell ref="A101:B101"/>
    <mergeCell ref="A109:B109"/>
    <mergeCell ref="A111:B111"/>
    <mergeCell ref="A112:B112"/>
    <mergeCell ref="A76:B76"/>
    <mergeCell ref="A37:B37"/>
    <mergeCell ref="A38:B38"/>
    <mergeCell ref="A40:B40"/>
    <mergeCell ref="A42:B42"/>
    <mergeCell ref="A45:B45"/>
    <mergeCell ref="A46:B46"/>
    <mergeCell ref="A48:B48"/>
    <mergeCell ref="A58:B58"/>
    <mergeCell ref="A59:B59"/>
    <mergeCell ref="A61:B61"/>
    <mergeCell ref="A75:B75"/>
    <mergeCell ref="A33:B33"/>
    <mergeCell ref="C16:D16"/>
    <mergeCell ref="C17:D17"/>
    <mergeCell ref="C18:D18"/>
    <mergeCell ref="C19:D19"/>
    <mergeCell ref="C20:D20"/>
    <mergeCell ref="C21:D21"/>
    <mergeCell ref="C22:D22"/>
    <mergeCell ref="C23:D23"/>
    <mergeCell ref="A25:B25"/>
    <mergeCell ref="C25:D25"/>
    <mergeCell ref="A27:B27"/>
    <mergeCell ref="C15:D15"/>
    <mergeCell ref="C3:D3"/>
    <mergeCell ref="C4:D4"/>
    <mergeCell ref="C5:D5"/>
    <mergeCell ref="A7:B7"/>
    <mergeCell ref="C8:D8"/>
    <mergeCell ref="C9:D9"/>
    <mergeCell ref="C10:D10"/>
    <mergeCell ref="C11:D11"/>
    <mergeCell ref="C12:D12"/>
    <mergeCell ref="C13:D13"/>
    <mergeCell ref="C14:D14"/>
  </mergeCells>
  <pageMargins left="0.70866141732283472" right="0.70866141732283472" top="0.74803149606299213" bottom="0.74803149606299213" header="0" footer="0"/>
  <pageSetup paperSize="9" scale="80" fitToHeight="0" orientation="portrait" r:id="rId1"/>
  <rowBreaks count="4" manualBreakCount="4">
    <brk id="38" max="3" man="1"/>
    <brk id="83" max="3" man="1"/>
    <brk id="90" max="16383" man="1"/>
    <brk id="124" max="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768CA-A9A0-43BF-B51D-34FF12CBFE8F}">
  <sheetPr>
    <tabColor theme="5" tint="0.79998168889431442"/>
    <outlinePr summaryBelow="0"/>
    <pageSetUpPr fitToPage="1"/>
  </sheetPr>
  <dimension ref="A1:D165"/>
  <sheetViews>
    <sheetView workbookViewId="0"/>
  </sheetViews>
  <sheetFormatPr defaultColWidth="14.42578125" defaultRowHeight="15" customHeight="1" x14ac:dyDescent="0.25"/>
  <cols>
    <col min="1" max="1" width="6.7109375" customWidth="1"/>
    <col min="2" max="2" width="64.7109375" customWidth="1"/>
    <col min="3" max="3" width="18.7109375" customWidth="1"/>
    <col min="4" max="4" width="18.7109375" style="33" customWidth="1"/>
    <col min="5" max="16384" width="14.42578125" style="159"/>
  </cols>
  <sheetData>
    <row r="1" spans="1:4" ht="40.5" customHeight="1" x14ac:dyDescent="0.25">
      <c r="A1" s="38"/>
      <c r="B1" s="313" t="s">
        <v>692</v>
      </c>
      <c r="C1" s="37"/>
      <c r="D1" s="37"/>
    </row>
    <row r="2" spans="1:4" ht="15.95" customHeight="1" thickBot="1" x14ac:dyDescent="0.3">
      <c r="A2" s="125"/>
      <c r="B2" s="42"/>
      <c r="C2" s="126"/>
      <c r="D2" s="127"/>
    </row>
    <row r="3" spans="1:4" ht="15" customHeight="1" x14ac:dyDescent="0.25">
      <c r="A3" s="192"/>
      <c r="B3" s="314" t="s">
        <v>693</v>
      </c>
      <c r="C3" s="552"/>
      <c r="D3" s="552"/>
    </row>
    <row r="4" spans="1:4" ht="15" customHeight="1" x14ac:dyDescent="0.25">
      <c r="A4" s="193"/>
      <c r="B4" s="274" t="s">
        <v>694</v>
      </c>
      <c r="C4" s="553"/>
      <c r="D4" s="553"/>
    </row>
    <row r="5" spans="1:4" ht="15.75" customHeight="1" thickBot="1" x14ac:dyDescent="0.3">
      <c r="A5" s="194"/>
      <c r="B5" s="195" t="s">
        <v>695</v>
      </c>
      <c r="C5" s="554"/>
      <c r="D5" s="554"/>
    </row>
    <row r="6" spans="1:4" ht="15.95" customHeight="1" thickBot="1" x14ac:dyDescent="0.3">
      <c r="A6" s="125"/>
      <c r="B6" s="42"/>
      <c r="C6" s="126"/>
      <c r="D6" s="127"/>
    </row>
    <row r="7" spans="1:4" ht="15" customHeight="1" x14ac:dyDescent="0.25">
      <c r="A7" s="563" t="s">
        <v>696</v>
      </c>
      <c r="B7" s="564"/>
      <c r="C7" s="128"/>
      <c r="D7" s="129"/>
    </row>
    <row r="8" spans="1:4" ht="15" customHeight="1" x14ac:dyDescent="0.25">
      <c r="A8" s="45" t="s">
        <v>697</v>
      </c>
      <c r="B8" s="263" t="s">
        <v>698</v>
      </c>
      <c r="C8" s="555"/>
      <c r="D8" s="555"/>
    </row>
    <row r="9" spans="1:4" ht="15" customHeight="1" x14ac:dyDescent="0.25">
      <c r="A9" s="45" t="s">
        <v>699</v>
      </c>
      <c r="B9" s="263" t="s">
        <v>700</v>
      </c>
      <c r="C9" s="555" t="str">
        <f>'DADOS CCT'!B25</f>
        <v>CACHOEIRA DO SUL</v>
      </c>
      <c r="D9" s="555"/>
    </row>
    <row r="10" spans="1:4" ht="15" customHeight="1" x14ac:dyDescent="0.25">
      <c r="A10" s="45" t="s">
        <v>701</v>
      </c>
      <c r="B10" s="263" t="s">
        <v>702</v>
      </c>
      <c r="C10" s="555" t="str">
        <f>'DADOS CCT'!C25&amp;" - "&amp;'DADOS CCT'!D26</f>
        <v>SEEAC/RS - RS004917/2023</v>
      </c>
      <c r="D10" s="555"/>
    </row>
    <row r="11" spans="1:4" ht="15" customHeight="1" x14ac:dyDescent="0.25">
      <c r="A11" s="45" t="s">
        <v>703</v>
      </c>
      <c r="B11" s="263" t="s">
        <v>704</v>
      </c>
      <c r="C11" s="556">
        <v>12</v>
      </c>
      <c r="D11" s="556"/>
    </row>
    <row r="12" spans="1:4" ht="15" customHeight="1" x14ac:dyDescent="0.25">
      <c r="A12" s="45" t="s">
        <v>705</v>
      </c>
      <c r="B12" s="263" t="s">
        <v>706</v>
      </c>
      <c r="C12" s="557">
        <f>'DADOS CCT'!D27</f>
        <v>45292</v>
      </c>
      <c r="D12" s="557"/>
    </row>
    <row r="13" spans="1:4" ht="29.25" customHeight="1" x14ac:dyDescent="0.25">
      <c r="A13" s="45" t="s">
        <v>707</v>
      </c>
      <c r="B13" s="315" t="s">
        <v>708</v>
      </c>
      <c r="C13" s="558" t="s">
        <v>709</v>
      </c>
      <c r="D13" s="558"/>
    </row>
    <row r="14" spans="1:4" x14ac:dyDescent="0.25">
      <c r="A14" s="130" t="s">
        <v>710</v>
      </c>
      <c r="B14" s="131" t="s">
        <v>711</v>
      </c>
      <c r="C14" s="559" t="s">
        <v>712</v>
      </c>
      <c r="D14" s="559"/>
    </row>
    <row r="15" spans="1:4" x14ac:dyDescent="0.25">
      <c r="A15" s="130" t="s">
        <v>713</v>
      </c>
      <c r="B15" s="131" t="s">
        <v>714</v>
      </c>
      <c r="C15" s="559" t="s">
        <v>896</v>
      </c>
      <c r="D15" s="559"/>
    </row>
    <row r="16" spans="1:4" x14ac:dyDescent="0.25">
      <c r="A16" s="130" t="s">
        <v>716</v>
      </c>
      <c r="B16" s="131" t="s">
        <v>717</v>
      </c>
      <c r="C16" s="559" t="str">
        <f ca="1">RIGHT(CELL("nome.arquivo",A1),LEN(CELL("nome.arquivo",A1))-SEARCH("]",CELL("nome.arquivo",A1)))</f>
        <v>5143-20 SRV.L 5x2 DIURNO CS</v>
      </c>
      <c r="D16" s="559"/>
    </row>
    <row r="17" spans="1:4" x14ac:dyDescent="0.25">
      <c r="A17" s="130" t="s">
        <v>718</v>
      </c>
      <c r="B17" s="131" t="s">
        <v>719</v>
      </c>
      <c r="C17" s="560" t="s">
        <v>1197</v>
      </c>
      <c r="D17" s="560"/>
    </row>
    <row r="18" spans="1:4" x14ac:dyDescent="0.25">
      <c r="A18" s="130" t="s">
        <v>721</v>
      </c>
      <c r="B18" s="131" t="s">
        <v>722</v>
      </c>
      <c r="C18" s="560">
        <v>21</v>
      </c>
      <c r="D18" s="560"/>
    </row>
    <row r="19" spans="1:4" ht="15.75" customHeight="1" x14ac:dyDescent="0.25">
      <c r="A19" s="130" t="s">
        <v>723</v>
      </c>
      <c r="B19" s="131" t="s">
        <v>724</v>
      </c>
      <c r="C19" s="560">
        <f>'DADOS CCT'!D28</f>
        <v>1540.51</v>
      </c>
      <c r="D19" s="560"/>
    </row>
    <row r="20" spans="1:4" ht="15.75" customHeight="1" x14ac:dyDescent="0.25">
      <c r="A20" s="130" t="s">
        <v>725</v>
      </c>
      <c r="B20" s="132" t="s">
        <v>726</v>
      </c>
      <c r="C20" s="573">
        <f>C19/220</f>
        <v>7.0023181818181817</v>
      </c>
      <c r="D20" s="573"/>
    </row>
    <row r="21" spans="1:4" ht="15.75" customHeight="1" x14ac:dyDescent="0.25">
      <c r="A21" s="130" t="s">
        <v>727</v>
      </c>
      <c r="B21" s="132" t="s">
        <v>728</v>
      </c>
      <c r="C21" s="573">
        <f>C20*1.5</f>
        <v>10.503477272727272</v>
      </c>
      <c r="D21" s="573"/>
    </row>
    <row r="22" spans="1:4" ht="15.75" customHeight="1" x14ac:dyDescent="0.25">
      <c r="A22" s="130" t="s">
        <v>729</v>
      </c>
      <c r="B22" s="132" t="s">
        <v>730</v>
      </c>
      <c r="C22" s="573">
        <f>C20*2</f>
        <v>14.004636363636363</v>
      </c>
      <c r="D22" s="573"/>
    </row>
    <row r="23" spans="1:4" ht="15.75" customHeight="1" thickBot="1" x14ac:dyDescent="0.3">
      <c r="A23" s="133" t="s">
        <v>731</v>
      </c>
      <c r="B23" s="134" t="s">
        <v>732</v>
      </c>
      <c r="C23" s="574">
        <f>C20*0.2</f>
        <v>1.4004636363636365</v>
      </c>
      <c r="D23" s="574"/>
    </row>
    <row r="24" spans="1:4" ht="15.95" customHeight="1" thickBot="1" x14ac:dyDescent="0.3">
      <c r="A24" s="125"/>
      <c r="B24" s="42"/>
      <c r="C24" s="126"/>
      <c r="D24" s="127"/>
    </row>
    <row r="25" spans="1:4" ht="15.75" thickBot="1" x14ac:dyDescent="0.3">
      <c r="A25" s="565"/>
      <c r="B25" s="566"/>
      <c r="C25" s="567" t="str">
        <f>'DADOS CCT'!D3</f>
        <v>00 - VALOR ESTIMADO</v>
      </c>
      <c r="D25" s="568"/>
    </row>
    <row r="26" spans="1:4" ht="6" customHeight="1" thickBot="1" x14ac:dyDescent="0.3">
      <c r="A26" s="4"/>
      <c r="B26" s="1"/>
      <c r="C26" s="5"/>
      <c r="D26" s="6"/>
    </row>
    <row r="27" spans="1:4" ht="18" customHeight="1" x14ac:dyDescent="0.25">
      <c r="A27" s="569" t="s">
        <v>733</v>
      </c>
      <c r="B27" s="570"/>
      <c r="C27" s="190"/>
      <c r="D27" s="191" t="s">
        <v>734</v>
      </c>
    </row>
    <row r="28" spans="1:4" ht="15.75" customHeight="1" x14ac:dyDescent="0.25">
      <c r="A28" s="45" t="s">
        <v>735</v>
      </c>
      <c r="B28" s="46" t="s">
        <v>736</v>
      </c>
      <c r="C28" s="135">
        <v>200</v>
      </c>
      <c r="D28" s="28">
        <f>C28*C19/220</f>
        <v>1400.4636363636364</v>
      </c>
    </row>
    <row r="29" spans="1:4" ht="15.75" customHeight="1" x14ac:dyDescent="0.25">
      <c r="A29" s="45" t="s">
        <v>737</v>
      </c>
      <c r="B29" s="46" t="s">
        <v>738</v>
      </c>
      <c r="C29" s="136"/>
      <c r="D29" s="28">
        <f>D$28*C29</f>
        <v>0</v>
      </c>
    </row>
    <row r="30" spans="1:4" ht="15.75" customHeight="1" x14ac:dyDescent="0.25">
      <c r="A30" s="45" t="s">
        <v>739</v>
      </c>
      <c r="B30" s="46" t="s">
        <v>740</v>
      </c>
      <c r="C30" s="136">
        <v>0.2</v>
      </c>
      <c r="D30" s="208">
        <f>C30*C19</f>
        <v>308.10200000000003</v>
      </c>
    </row>
    <row r="31" spans="1:4" ht="15.75" customHeight="1" x14ac:dyDescent="0.25">
      <c r="A31" s="45" t="s">
        <v>741</v>
      </c>
      <c r="B31" s="46" t="s">
        <v>742</v>
      </c>
      <c r="C31" s="28"/>
      <c r="D31" s="28">
        <f>(D28/C28)*0.2*C31*(60/52.5)</f>
        <v>0</v>
      </c>
    </row>
    <row r="32" spans="1:4" ht="15.75" customHeight="1" x14ac:dyDescent="0.25">
      <c r="A32" s="45" t="s">
        <v>743</v>
      </c>
      <c r="B32" s="46" t="s">
        <v>744</v>
      </c>
      <c r="C32" s="28"/>
      <c r="D32" s="28">
        <f>(D28/C28)*1.5*C32</f>
        <v>0</v>
      </c>
    </row>
    <row r="33" spans="1:4" ht="15.75" customHeight="1" x14ac:dyDescent="0.25">
      <c r="A33" s="571" t="s">
        <v>745</v>
      </c>
      <c r="B33" s="572"/>
      <c r="C33" s="184"/>
      <c r="D33" s="185">
        <f>SUM(D28:D32)</f>
        <v>1708.5656363636365</v>
      </c>
    </row>
    <row r="34" spans="1:4" ht="15.75" customHeight="1" x14ac:dyDescent="0.25">
      <c r="A34" s="45" t="s">
        <v>746</v>
      </c>
      <c r="B34" s="46" t="s">
        <v>747</v>
      </c>
      <c r="C34" s="28"/>
      <c r="D34" s="28">
        <f>15*C34*(D28/C28)*1.5</f>
        <v>0</v>
      </c>
    </row>
    <row r="35" spans="1:4" ht="15.75" customHeight="1" x14ac:dyDescent="0.25">
      <c r="A35" s="45" t="s">
        <v>748</v>
      </c>
      <c r="B35" s="46" t="s">
        <v>749</v>
      </c>
      <c r="C35" s="139">
        <f>'DADOS CCT'!D30</f>
        <v>0</v>
      </c>
      <c r="D35" s="28">
        <f>D28*C35</f>
        <v>0</v>
      </c>
    </row>
    <row r="36" spans="1:4" ht="15.75" customHeight="1" x14ac:dyDescent="0.25">
      <c r="A36" s="45" t="s">
        <v>750</v>
      </c>
      <c r="B36" s="46" t="s">
        <v>751</v>
      </c>
      <c r="C36" s="136"/>
      <c r="D36" s="28">
        <f>D$28*C36</f>
        <v>0</v>
      </c>
    </row>
    <row r="37" spans="1:4" ht="15.75" customHeight="1" thickBot="1" x14ac:dyDescent="0.3">
      <c r="A37" s="575" t="s">
        <v>752</v>
      </c>
      <c r="B37" s="576"/>
      <c r="C37" s="188"/>
      <c r="D37" s="189">
        <f>SUM(D33:D36)</f>
        <v>1708.5656363636365</v>
      </c>
    </row>
    <row r="38" spans="1:4" ht="24" customHeight="1" x14ac:dyDescent="0.25">
      <c r="A38" s="577" t="s">
        <v>1233</v>
      </c>
      <c r="B38" s="578"/>
      <c r="C38" s="8"/>
      <c r="D38" s="127"/>
    </row>
    <row r="39" spans="1:4" ht="8.1" customHeight="1" thickBot="1" x14ac:dyDescent="0.3">
      <c r="A39" s="7"/>
      <c r="B39" s="16"/>
      <c r="C39" s="8"/>
      <c r="D39" s="127"/>
    </row>
    <row r="40" spans="1:4" ht="18" customHeight="1" x14ac:dyDescent="0.25">
      <c r="A40" s="579" t="s">
        <v>753</v>
      </c>
      <c r="B40" s="580"/>
      <c r="C40" s="142"/>
      <c r="D40" s="187"/>
    </row>
    <row r="41" spans="1:4" ht="6" customHeight="1" x14ac:dyDescent="0.25">
      <c r="A41" s="125"/>
      <c r="B41" s="42"/>
      <c r="C41" s="126"/>
      <c r="D41" s="127"/>
    </row>
    <row r="42" spans="1:4" ht="15.75" customHeight="1" x14ac:dyDescent="0.25">
      <c r="A42" s="581" t="s">
        <v>754</v>
      </c>
      <c r="B42" s="572"/>
      <c r="C42" s="182"/>
      <c r="D42" s="183" t="s">
        <v>734</v>
      </c>
    </row>
    <row r="43" spans="1:4" ht="15" customHeight="1" x14ac:dyDescent="0.25">
      <c r="A43" s="45" t="s">
        <v>755</v>
      </c>
      <c r="B43" s="46" t="s">
        <v>756</v>
      </c>
      <c r="C43" s="136">
        <v>8.3299999999999999E-2</v>
      </c>
      <c r="D43" s="28">
        <f>D$33*C43</f>
        <v>142.32351750909092</v>
      </c>
    </row>
    <row r="44" spans="1:4" ht="15" customHeight="1" x14ac:dyDescent="0.25">
      <c r="A44" s="45" t="s">
        <v>757</v>
      </c>
      <c r="B44" s="46" t="s">
        <v>758</v>
      </c>
      <c r="C44" s="143">
        <v>3.0249999999999999E-2</v>
      </c>
      <c r="D44" s="28">
        <f>D$33*C44</f>
        <v>51.684110500000003</v>
      </c>
    </row>
    <row r="45" spans="1:4" ht="15.75" customHeight="1" x14ac:dyDescent="0.25">
      <c r="A45" s="582" t="s">
        <v>752</v>
      </c>
      <c r="B45" s="572"/>
      <c r="C45" s="186"/>
      <c r="D45" s="185">
        <f>SUM(D43:D44)</f>
        <v>194.00762800909092</v>
      </c>
    </row>
    <row r="46" spans="1:4" ht="37.5" customHeight="1" x14ac:dyDescent="0.25">
      <c r="A46" s="583" t="s">
        <v>759</v>
      </c>
      <c r="B46" s="584"/>
      <c r="C46" s="141"/>
      <c r="D46" s="41"/>
    </row>
    <row r="47" spans="1:4" ht="8.1" customHeight="1" x14ac:dyDescent="0.25">
      <c r="A47" s="125"/>
      <c r="B47" s="33"/>
      <c r="C47" s="126"/>
      <c r="D47" s="127"/>
    </row>
    <row r="48" spans="1:4" ht="15.75" customHeight="1" x14ac:dyDescent="0.25">
      <c r="A48" s="581" t="s">
        <v>760</v>
      </c>
      <c r="B48" s="572"/>
      <c r="C48" s="182"/>
      <c r="D48" s="183" t="s">
        <v>734</v>
      </c>
    </row>
    <row r="49" spans="1:4" ht="15" customHeight="1" x14ac:dyDescent="0.25">
      <c r="A49" s="45" t="s">
        <v>761</v>
      </c>
      <c r="B49" s="46" t="s">
        <v>762</v>
      </c>
      <c r="C49" s="136">
        <v>0.2</v>
      </c>
      <c r="D49" s="28">
        <f t="shared" ref="D49:D57" si="0">(D$33+D$45)*C49</f>
        <v>380.5146528745455</v>
      </c>
    </row>
    <row r="50" spans="1:4" ht="15" customHeight="1" x14ac:dyDescent="0.25">
      <c r="A50" s="45" t="s">
        <v>763</v>
      </c>
      <c r="B50" s="46" t="s">
        <v>764</v>
      </c>
      <c r="C50" s="136">
        <v>2.5000000000000001E-2</v>
      </c>
      <c r="D50" s="28">
        <f t="shared" si="0"/>
        <v>47.564331609318188</v>
      </c>
    </row>
    <row r="51" spans="1:4" ht="15" customHeight="1" x14ac:dyDescent="0.25">
      <c r="A51" s="45" t="s">
        <v>765</v>
      </c>
      <c r="B51" s="46" t="s">
        <v>766</v>
      </c>
      <c r="C51" s="144">
        <f>'DADOS CCT'!D$40*'DADOS CCT'!D$41</f>
        <v>0.06</v>
      </c>
      <c r="D51" s="28">
        <f t="shared" si="0"/>
        <v>114.15439586236364</v>
      </c>
    </row>
    <row r="52" spans="1:4" ht="15" customHeight="1" x14ac:dyDescent="0.25">
      <c r="A52" s="45" t="s">
        <v>767</v>
      </c>
      <c r="B52" s="46" t="s">
        <v>768</v>
      </c>
      <c r="C52" s="136">
        <v>1.4999999999999999E-2</v>
      </c>
      <c r="D52" s="28">
        <f t="shared" si="0"/>
        <v>28.538598965590911</v>
      </c>
    </row>
    <row r="53" spans="1:4" ht="15" customHeight="1" x14ac:dyDescent="0.25">
      <c r="A53" s="45" t="s">
        <v>769</v>
      </c>
      <c r="B53" s="46" t="s">
        <v>770</v>
      </c>
      <c r="C53" s="136">
        <v>0.01</v>
      </c>
      <c r="D53" s="28">
        <f t="shared" si="0"/>
        <v>19.025732643727274</v>
      </c>
    </row>
    <row r="54" spans="1:4" ht="15" customHeight="1" x14ac:dyDescent="0.25">
      <c r="A54" s="45" t="s">
        <v>771</v>
      </c>
      <c r="B54" s="46" t="s">
        <v>772</v>
      </c>
      <c r="C54" s="136">
        <v>6.0000000000000001E-3</v>
      </c>
      <c r="D54" s="28">
        <f t="shared" si="0"/>
        <v>11.415439586236365</v>
      </c>
    </row>
    <row r="55" spans="1:4" ht="15" customHeight="1" x14ac:dyDescent="0.25">
      <c r="A55" s="45" t="s">
        <v>773</v>
      </c>
      <c r="B55" s="46" t="s">
        <v>774</v>
      </c>
      <c r="C55" s="136">
        <v>2E-3</v>
      </c>
      <c r="D55" s="28">
        <f t="shared" si="0"/>
        <v>3.8051465287454551</v>
      </c>
    </row>
    <row r="56" spans="1:4" ht="15" customHeight="1" x14ac:dyDescent="0.25">
      <c r="A56" s="45" t="s">
        <v>775</v>
      </c>
      <c r="B56" s="46" t="s">
        <v>776</v>
      </c>
      <c r="C56" s="136">
        <v>0.08</v>
      </c>
      <c r="D56" s="28">
        <f t="shared" si="0"/>
        <v>152.20586114981819</v>
      </c>
    </row>
    <row r="57" spans="1:4" ht="15" customHeight="1" x14ac:dyDescent="0.25">
      <c r="A57" s="45" t="s">
        <v>777</v>
      </c>
      <c r="B57" s="46" t="s">
        <v>778</v>
      </c>
      <c r="C57" s="136"/>
      <c r="D57" s="28">
        <f t="shared" si="0"/>
        <v>0</v>
      </c>
    </row>
    <row r="58" spans="1:4" ht="15.75" customHeight="1" x14ac:dyDescent="0.25">
      <c r="A58" s="585" t="s">
        <v>752</v>
      </c>
      <c r="B58" s="412"/>
      <c r="C58" s="137">
        <f>SUM(C49:C50,C51:C57)</f>
        <v>0.39800000000000008</v>
      </c>
      <c r="D58" s="138">
        <f>SUM(D49:D57)</f>
        <v>757.22415922034565</v>
      </c>
    </row>
    <row r="59" spans="1:4" ht="20.25" customHeight="1" x14ac:dyDescent="0.25">
      <c r="A59" s="583" t="s">
        <v>779</v>
      </c>
      <c r="B59" s="586"/>
      <c r="C59" s="141"/>
      <c r="D59" s="41"/>
    </row>
    <row r="60" spans="1:4" ht="8.1" customHeight="1" x14ac:dyDescent="0.25">
      <c r="A60" s="125"/>
      <c r="B60" s="33"/>
      <c r="C60" s="140"/>
      <c r="D60" s="127"/>
    </row>
    <row r="61" spans="1:4" ht="15.75" customHeight="1" x14ac:dyDescent="0.25">
      <c r="A61" s="581" t="s">
        <v>780</v>
      </c>
      <c r="B61" s="572"/>
      <c r="C61" s="182"/>
      <c r="D61" s="183" t="s">
        <v>734</v>
      </c>
    </row>
    <row r="62" spans="1:4" ht="15.75" customHeight="1" x14ac:dyDescent="0.25">
      <c r="A62" s="45" t="s">
        <v>781</v>
      </c>
      <c r="B62" s="46" t="s">
        <v>782</v>
      </c>
      <c r="C62" s="145"/>
      <c r="D62" s="138">
        <f>((C63*C64*C65)-D66)*C67</f>
        <v>167.97218181818181</v>
      </c>
    </row>
    <row r="63" spans="1:4" ht="15.75" customHeight="1" x14ac:dyDescent="0.25">
      <c r="A63" s="45" t="s">
        <v>783</v>
      </c>
      <c r="B63" s="46" t="s">
        <v>784</v>
      </c>
      <c r="C63" s="146">
        <f>'DADOS CCT'!D31</f>
        <v>6</v>
      </c>
      <c r="D63" s="28">
        <v>0</v>
      </c>
    </row>
    <row r="64" spans="1:4" ht="15.75" customHeight="1" x14ac:dyDescent="0.25">
      <c r="A64" s="45" t="s">
        <v>785</v>
      </c>
      <c r="B64" s="46" t="s">
        <v>786</v>
      </c>
      <c r="C64" s="28">
        <v>2</v>
      </c>
      <c r="D64" s="28">
        <v>0</v>
      </c>
    </row>
    <row r="65" spans="1:4" ht="15.75" customHeight="1" x14ac:dyDescent="0.25">
      <c r="A65" s="45" t="s">
        <v>787</v>
      </c>
      <c r="B65" s="46" t="s">
        <v>788</v>
      </c>
      <c r="C65" s="147">
        <f>C$18</f>
        <v>21</v>
      </c>
      <c r="D65" s="28">
        <v>0</v>
      </c>
    </row>
    <row r="66" spans="1:4" ht="15.75" customHeight="1" x14ac:dyDescent="0.25">
      <c r="A66" s="45" t="s">
        <v>789</v>
      </c>
      <c r="B66" s="46" t="s">
        <v>790</v>
      </c>
      <c r="C66" s="136">
        <v>0.06</v>
      </c>
      <c r="D66" s="28">
        <f>C66*D$28</f>
        <v>84.027818181818176</v>
      </c>
    </row>
    <row r="67" spans="1:4" ht="15.75" customHeight="1" x14ac:dyDescent="0.25">
      <c r="A67" s="45" t="s">
        <v>791</v>
      </c>
      <c r="B67" s="46" t="s">
        <v>792</v>
      </c>
      <c r="C67" s="144">
        <f>'DADOS CCT'!D32</f>
        <v>1</v>
      </c>
      <c r="D67" s="28">
        <v>0</v>
      </c>
    </row>
    <row r="68" spans="1:4" ht="15.75" customHeight="1" x14ac:dyDescent="0.25">
      <c r="A68" s="45" t="s">
        <v>793</v>
      </c>
      <c r="B68" s="46" t="s">
        <v>794</v>
      </c>
      <c r="C68" s="136"/>
      <c r="D68" s="138">
        <f>(C69*C70)-D71</f>
        <v>402.79679999999996</v>
      </c>
    </row>
    <row r="69" spans="1:4" ht="15.75" customHeight="1" x14ac:dyDescent="0.25">
      <c r="A69" s="45" t="s">
        <v>795</v>
      </c>
      <c r="B69" s="46" t="s">
        <v>796</v>
      </c>
      <c r="C69" s="146">
        <f>'DADOS CCT'!D33</f>
        <v>23.68</v>
      </c>
      <c r="D69" s="28">
        <v>0</v>
      </c>
    </row>
    <row r="70" spans="1:4" ht="15.75" customHeight="1" x14ac:dyDescent="0.25">
      <c r="A70" s="45" t="s">
        <v>797</v>
      </c>
      <c r="B70" s="46" t="s">
        <v>798</v>
      </c>
      <c r="C70" s="147">
        <f>C$18</f>
        <v>21</v>
      </c>
      <c r="D70" s="28">
        <v>0</v>
      </c>
    </row>
    <row r="71" spans="1:4" ht="15.75" customHeight="1" x14ac:dyDescent="0.25">
      <c r="A71" s="45" t="s">
        <v>799</v>
      </c>
      <c r="B71" s="46" t="s">
        <v>800</v>
      </c>
      <c r="C71" s="144">
        <f>'DADOS CCT'!D35</f>
        <v>0.19</v>
      </c>
      <c r="D71" s="28">
        <f>(C69*C70)*C71</f>
        <v>94.483199999999997</v>
      </c>
    </row>
    <row r="72" spans="1:4" ht="15.75" customHeight="1" x14ac:dyDescent="0.25">
      <c r="A72" s="45" t="s">
        <v>801</v>
      </c>
      <c r="B72" s="46" t="s">
        <v>802</v>
      </c>
      <c r="C72" s="136"/>
      <c r="D72" s="208">
        <f>'DADOS CCT'!D$36</f>
        <v>19.420000000000002</v>
      </c>
    </row>
    <row r="73" spans="1:4" ht="15.75" customHeight="1" x14ac:dyDescent="0.25">
      <c r="A73" s="45" t="s">
        <v>803</v>
      </c>
      <c r="B73" s="46" t="s">
        <v>804</v>
      </c>
      <c r="C73" s="136"/>
      <c r="D73" s="28">
        <v>0</v>
      </c>
    </row>
    <row r="74" spans="1:4" ht="15.75" customHeight="1" x14ac:dyDescent="0.25">
      <c r="A74" s="45" t="s">
        <v>805</v>
      </c>
      <c r="B74" s="46" t="s">
        <v>778</v>
      </c>
      <c r="C74" s="136"/>
      <c r="D74" s="28">
        <v>0</v>
      </c>
    </row>
    <row r="75" spans="1:4" ht="15.75" customHeight="1" x14ac:dyDescent="0.25">
      <c r="A75" s="582" t="s">
        <v>752</v>
      </c>
      <c r="B75" s="572"/>
      <c r="C75" s="184"/>
      <c r="D75" s="185">
        <f>SUM(D62,D68,D72:D74)</f>
        <v>590.18898181818179</v>
      </c>
    </row>
    <row r="76" spans="1:4" ht="38.25" customHeight="1" x14ac:dyDescent="0.25">
      <c r="A76" s="583" t="s">
        <v>1102</v>
      </c>
      <c r="B76" s="586"/>
      <c r="C76" s="40"/>
      <c r="D76" s="41"/>
    </row>
    <row r="77" spans="1:4" ht="8.1" customHeight="1" x14ac:dyDescent="0.25">
      <c r="A77" s="125"/>
      <c r="B77" s="33"/>
      <c r="C77" s="140"/>
      <c r="D77" s="127"/>
    </row>
    <row r="78" spans="1:4" ht="15.75" customHeight="1" x14ac:dyDescent="0.25">
      <c r="A78" s="581" t="s">
        <v>806</v>
      </c>
      <c r="B78" s="572"/>
      <c r="C78" s="182"/>
      <c r="D78" s="183" t="s">
        <v>734</v>
      </c>
    </row>
    <row r="79" spans="1:4" ht="15.75" customHeight="1" x14ac:dyDescent="0.25">
      <c r="A79" s="45" t="s">
        <v>807</v>
      </c>
      <c r="B79" s="46" t="s">
        <v>808</v>
      </c>
      <c r="C79" s="136"/>
      <c r="D79" s="28">
        <f>D45</f>
        <v>194.00762800909092</v>
      </c>
    </row>
    <row r="80" spans="1:4" ht="15.75" customHeight="1" x14ac:dyDescent="0.25">
      <c r="A80" s="45" t="s">
        <v>809</v>
      </c>
      <c r="B80" s="46" t="s">
        <v>810</v>
      </c>
      <c r="C80" s="28"/>
      <c r="D80" s="28">
        <f>D58</f>
        <v>757.22415922034565</v>
      </c>
    </row>
    <row r="81" spans="1:4" ht="15.75" customHeight="1" x14ac:dyDescent="0.25">
      <c r="A81" s="45" t="s">
        <v>811</v>
      </c>
      <c r="B81" s="46" t="s">
        <v>812</v>
      </c>
      <c r="C81" s="28"/>
      <c r="D81" s="28">
        <f>D75</f>
        <v>590.18898181818179</v>
      </c>
    </row>
    <row r="82" spans="1:4" ht="15.75" customHeight="1" thickBot="1" x14ac:dyDescent="0.3">
      <c r="A82" s="589" t="s">
        <v>752</v>
      </c>
      <c r="B82" s="590"/>
      <c r="C82" s="180"/>
      <c r="D82" s="181">
        <f>SUM(D79:D81)</f>
        <v>1541.4207690476183</v>
      </c>
    </row>
    <row r="83" spans="1:4" ht="8.1" customHeight="1" x14ac:dyDescent="0.25">
      <c r="A83" s="148"/>
      <c r="B83" s="149"/>
      <c r="C83" s="40"/>
      <c r="D83" s="41"/>
    </row>
    <row r="84" spans="1:4" ht="8.1" customHeight="1" thickBot="1" x14ac:dyDescent="0.3">
      <c r="A84" s="4"/>
      <c r="B84" s="1"/>
      <c r="C84" s="22"/>
      <c r="D84" s="6"/>
    </row>
    <row r="85" spans="1:4" ht="18" customHeight="1" x14ac:dyDescent="0.25">
      <c r="A85" s="591" t="s">
        <v>813</v>
      </c>
      <c r="B85" s="592"/>
      <c r="C85" s="12"/>
      <c r="D85" s="150" t="s">
        <v>734</v>
      </c>
    </row>
    <row r="86" spans="1:4" ht="15.75" customHeight="1" x14ac:dyDescent="0.25">
      <c r="A86" s="209" t="s">
        <v>814</v>
      </c>
      <c r="B86" s="210" t="s">
        <v>815</v>
      </c>
      <c r="C86" s="211">
        <v>0.05</v>
      </c>
      <c r="D86" s="212">
        <f>(D$33/$C$11)*C86*C89</f>
        <v>7.1190234848484852</v>
      </c>
    </row>
    <row r="87" spans="1:4" ht="15.75" customHeight="1" x14ac:dyDescent="0.25">
      <c r="A87" s="209" t="s">
        <v>816</v>
      </c>
      <c r="B87" s="210" t="s">
        <v>817</v>
      </c>
      <c r="C87" s="211">
        <f>C56</f>
        <v>0.08</v>
      </c>
      <c r="D87" s="212">
        <f>D86*C87</f>
        <v>0.56952187878787885</v>
      </c>
    </row>
    <row r="88" spans="1:4" ht="15.75" customHeight="1" x14ac:dyDescent="0.25">
      <c r="A88" s="209" t="s">
        <v>818</v>
      </c>
      <c r="B88" s="210" t="s">
        <v>819</v>
      </c>
      <c r="C88" s="211">
        <v>0.04</v>
      </c>
      <c r="D88" s="212">
        <f>D$33*C88</f>
        <v>68.342625454545455</v>
      </c>
    </row>
    <row r="89" spans="1:4" ht="15.75" customHeight="1" x14ac:dyDescent="0.25">
      <c r="A89" s="213" t="s">
        <v>820</v>
      </c>
      <c r="B89" s="214" t="s">
        <v>821</v>
      </c>
      <c r="C89" s="215">
        <v>1</v>
      </c>
      <c r="D89" s="216">
        <v>0</v>
      </c>
    </row>
    <row r="90" spans="1:4" ht="15.75" customHeight="1" x14ac:dyDescent="0.25">
      <c r="A90" s="18" t="s">
        <v>822</v>
      </c>
      <c r="B90" s="13" t="s">
        <v>823</v>
      </c>
      <c r="C90" s="15">
        <v>0.9</v>
      </c>
      <c r="D90" s="14">
        <f>(((D$33/30)*7)/12)*C90*C93</f>
        <v>29.899898636363641</v>
      </c>
    </row>
    <row r="91" spans="1:4" ht="15.75" customHeight="1" x14ac:dyDescent="0.25">
      <c r="A91" s="18" t="s">
        <v>820</v>
      </c>
      <c r="B91" s="13" t="s">
        <v>824</v>
      </c>
      <c r="C91" s="15">
        <f>C58</f>
        <v>0.39800000000000008</v>
      </c>
      <c r="D91" s="14">
        <f>D90*C91</f>
        <v>11.900159657272731</v>
      </c>
    </row>
    <row r="92" spans="1:4" ht="15.75" customHeight="1" x14ac:dyDescent="0.25">
      <c r="A92" s="18" t="s">
        <v>822</v>
      </c>
      <c r="B92" s="13" t="s">
        <v>825</v>
      </c>
      <c r="C92" s="17">
        <v>3.8080000000000003E-2</v>
      </c>
      <c r="D92" s="14">
        <f>D$33*C92</f>
        <v>65.062179432727277</v>
      </c>
    </row>
    <row r="93" spans="1:4" ht="15.75" customHeight="1" x14ac:dyDescent="0.25">
      <c r="A93" s="66" t="s">
        <v>826</v>
      </c>
      <c r="B93" s="34" t="s">
        <v>827</v>
      </c>
      <c r="C93" s="67">
        <v>1</v>
      </c>
      <c r="D93" s="35">
        <v>0</v>
      </c>
    </row>
    <row r="94" spans="1:4" ht="15.75" customHeight="1" thickBot="1" x14ac:dyDescent="0.3">
      <c r="A94" s="593" t="s">
        <v>752</v>
      </c>
      <c r="B94" s="594"/>
      <c r="C94" s="172"/>
      <c r="D94" s="173">
        <f>SUM(D86:D88,D90:D92)</f>
        <v>182.89340854454548</v>
      </c>
    </row>
    <row r="95" spans="1:4" ht="50.25" customHeight="1" x14ac:dyDescent="0.25">
      <c r="A95" s="577" t="s">
        <v>828</v>
      </c>
      <c r="B95" s="578"/>
      <c r="C95" s="3"/>
      <c r="D95" s="41"/>
    </row>
    <row r="96" spans="1:4" ht="15.95" customHeight="1" thickBot="1" x14ac:dyDescent="0.3">
      <c r="A96" s="4"/>
      <c r="B96" s="1"/>
      <c r="C96" s="22"/>
      <c r="D96" s="6"/>
    </row>
    <row r="97" spans="1:4" ht="18" customHeight="1" x14ac:dyDescent="0.25">
      <c r="A97" s="591" t="s">
        <v>829</v>
      </c>
      <c r="B97" s="592"/>
      <c r="C97" s="12"/>
      <c r="D97" s="150" t="s">
        <v>734</v>
      </c>
    </row>
    <row r="98" spans="1:4" ht="8.1" customHeight="1" x14ac:dyDescent="0.25">
      <c r="A98" s="7"/>
      <c r="C98" s="8"/>
      <c r="D98" s="127"/>
    </row>
    <row r="99" spans="1:4" ht="15.75" customHeight="1" x14ac:dyDescent="0.25">
      <c r="A99" s="587" t="s">
        <v>830</v>
      </c>
      <c r="B99" s="588"/>
      <c r="C99" s="151"/>
      <c r="D99" s="152">
        <f>SUM(D33,D45,D102)</f>
        <v>2057.6255958727274</v>
      </c>
    </row>
    <row r="100" spans="1:4" ht="8.1" customHeight="1" x14ac:dyDescent="0.25">
      <c r="A100" s="7"/>
      <c r="C100" s="8"/>
      <c r="D100" s="127"/>
    </row>
    <row r="101" spans="1:4" ht="15.75" customHeight="1" x14ac:dyDescent="0.25">
      <c r="A101" s="587" t="s">
        <v>831</v>
      </c>
      <c r="B101" s="588"/>
      <c r="C101" s="151"/>
      <c r="D101" s="152" t="s">
        <v>734</v>
      </c>
    </row>
    <row r="102" spans="1:4" ht="15.75" customHeight="1" x14ac:dyDescent="0.25">
      <c r="A102" s="18" t="s">
        <v>832</v>
      </c>
      <c r="B102" s="13" t="s">
        <v>833</v>
      </c>
      <c r="C102" s="17">
        <v>9.0749999999999997E-2</v>
      </c>
      <c r="D102" s="14">
        <f>D$33*C102</f>
        <v>155.05233150000001</v>
      </c>
    </row>
    <row r="103" spans="1:4" ht="15.75" customHeight="1" x14ac:dyDescent="0.25">
      <c r="A103" s="18" t="s">
        <v>834</v>
      </c>
      <c r="B103" s="13" t="s">
        <v>835</v>
      </c>
      <c r="C103" s="14">
        <v>1</v>
      </c>
      <c r="D103" s="14">
        <f>((D99/30)*C103)/12</f>
        <v>5.7156266552020201</v>
      </c>
    </row>
    <row r="104" spans="1:4" ht="15.75" customHeight="1" x14ac:dyDescent="0.25">
      <c r="A104" s="18" t="s">
        <v>836</v>
      </c>
      <c r="B104" s="13" t="s">
        <v>837</v>
      </c>
      <c r="C104" s="15">
        <v>1.4999999999999999E-2</v>
      </c>
      <c r="D104" s="14">
        <f>((D99/30)*5/12)*C104</f>
        <v>0.42867199914015153</v>
      </c>
    </row>
    <row r="105" spans="1:4" ht="15.75" customHeight="1" x14ac:dyDescent="0.25">
      <c r="A105" s="18" t="s">
        <v>838</v>
      </c>
      <c r="B105" s="13" t="s">
        <v>839</v>
      </c>
      <c r="C105" s="15">
        <v>7.7999999999999996E-3</v>
      </c>
      <c r="D105" s="14">
        <f>((D99/30)*15/12)*C105</f>
        <v>0.66872831865863636</v>
      </c>
    </row>
    <row r="106" spans="1:4" ht="15.75" customHeight="1" x14ac:dyDescent="0.25">
      <c r="A106" s="18" t="s">
        <v>840</v>
      </c>
      <c r="B106" s="13" t="s">
        <v>841</v>
      </c>
      <c r="C106" s="15">
        <v>0.02</v>
      </c>
      <c r="D106" s="14">
        <f>(((D33+(D33/3))/12)*(4/12))*C106</f>
        <v>1.2656041750841751</v>
      </c>
    </row>
    <row r="107" spans="1:4" ht="15.75" customHeight="1" x14ac:dyDescent="0.25">
      <c r="A107" s="18" t="s">
        <v>842</v>
      </c>
      <c r="B107" s="13" t="s">
        <v>843</v>
      </c>
      <c r="C107" s="14">
        <v>3</v>
      </c>
      <c r="D107" s="14">
        <f>((D99/30)*C107)/12</f>
        <v>17.146879965606061</v>
      </c>
    </row>
    <row r="108" spans="1:4" ht="15.75" customHeight="1" x14ac:dyDescent="0.25">
      <c r="A108" s="18" t="s">
        <v>844</v>
      </c>
      <c r="B108" s="13" t="s">
        <v>845</v>
      </c>
      <c r="C108" s="14"/>
      <c r="D108" s="14">
        <f>((D99/30)*C108)/12</f>
        <v>0</v>
      </c>
    </row>
    <row r="109" spans="1:4" ht="15.75" customHeight="1" x14ac:dyDescent="0.25">
      <c r="A109" s="595" t="s">
        <v>752</v>
      </c>
      <c r="B109" s="588"/>
      <c r="C109" s="175"/>
      <c r="D109" s="44">
        <f>SUM(D102:D107)</f>
        <v>180.27784261369106</v>
      </c>
    </row>
    <row r="110" spans="1:4" ht="15.75" customHeight="1" x14ac:dyDescent="0.25">
      <c r="A110" s="18" t="s">
        <v>846</v>
      </c>
      <c r="B110" s="13" t="s">
        <v>847</v>
      </c>
      <c r="C110" s="15">
        <f>C58</f>
        <v>0.39800000000000008</v>
      </c>
      <c r="D110" s="14">
        <f>D109*C110</f>
        <v>71.750581360249058</v>
      </c>
    </row>
    <row r="111" spans="1:4" ht="15.75" customHeight="1" x14ac:dyDescent="0.25">
      <c r="A111" s="596" t="s">
        <v>752</v>
      </c>
      <c r="B111" s="588"/>
      <c r="C111" s="179"/>
      <c r="D111" s="178">
        <f>SUM(D109:D110)</f>
        <v>252.02842397394011</v>
      </c>
    </row>
    <row r="112" spans="1:4" ht="61.5" customHeight="1" x14ac:dyDescent="0.25">
      <c r="A112" s="577" t="s">
        <v>848</v>
      </c>
      <c r="B112" s="578"/>
      <c r="C112" s="3"/>
      <c r="D112" s="41"/>
    </row>
    <row r="113" spans="1:4" ht="8.1" customHeight="1" x14ac:dyDescent="0.25">
      <c r="A113" s="125"/>
      <c r="B113" s="42"/>
      <c r="C113" s="140"/>
      <c r="D113" s="127"/>
    </row>
    <row r="114" spans="1:4" ht="15.75" customHeight="1" x14ac:dyDescent="0.25">
      <c r="A114" s="587" t="s">
        <v>849</v>
      </c>
      <c r="B114" s="588"/>
      <c r="C114" s="151"/>
      <c r="D114" s="152" t="s">
        <v>734</v>
      </c>
    </row>
    <row r="115" spans="1:4" ht="15.75" customHeight="1" x14ac:dyDescent="0.25">
      <c r="A115" s="18" t="s">
        <v>850</v>
      </c>
      <c r="B115" s="13" t="s">
        <v>851</v>
      </c>
      <c r="C115" s="14">
        <v>0</v>
      </c>
      <c r="D115" s="14">
        <f>((D$37+D$82)/C$28)*C115*C$18</f>
        <v>0</v>
      </c>
    </row>
    <row r="116" spans="1:4" ht="15.75" customHeight="1" x14ac:dyDescent="0.25">
      <c r="A116" s="18" t="s">
        <v>852</v>
      </c>
      <c r="B116" s="13" t="s">
        <v>853</v>
      </c>
      <c r="C116" s="15">
        <f>C58</f>
        <v>0.39800000000000008</v>
      </c>
      <c r="D116" s="14">
        <f>D115*C116</f>
        <v>0</v>
      </c>
    </row>
    <row r="117" spans="1:4" ht="15.75" customHeight="1" x14ac:dyDescent="0.25">
      <c r="A117" s="596" t="s">
        <v>752</v>
      </c>
      <c r="B117" s="588"/>
      <c r="C117" s="177"/>
      <c r="D117" s="178">
        <f>SUM(D115:D116)</f>
        <v>0</v>
      </c>
    </row>
    <row r="118" spans="1:4" ht="8.1" customHeight="1" x14ac:dyDescent="0.25">
      <c r="A118" s="577"/>
      <c r="B118" s="578"/>
      <c r="C118" s="3"/>
      <c r="D118" s="41"/>
    </row>
    <row r="119" spans="1:4" ht="8.1" customHeight="1" x14ac:dyDescent="0.25">
      <c r="A119" s="7"/>
      <c r="C119" s="20"/>
      <c r="D119" s="127"/>
    </row>
    <row r="120" spans="1:4" ht="15.75" customHeight="1" x14ac:dyDescent="0.25">
      <c r="A120" s="587" t="s">
        <v>854</v>
      </c>
      <c r="B120" s="588"/>
      <c r="C120" s="151"/>
      <c r="D120" s="152" t="s">
        <v>734</v>
      </c>
    </row>
    <row r="121" spans="1:4" ht="15.75" customHeight="1" x14ac:dyDescent="0.25">
      <c r="A121" s="18" t="s">
        <v>855</v>
      </c>
      <c r="B121" s="13" t="s">
        <v>856</v>
      </c>
      <c r="C121" s="15"/>
      <c r="D121" s="14">
        <f>D111</f>
        <v>252.02842397394011</v>
      </c>
    </row>
    <row r="122" spans="1:4" ht="15.75" customHeight="1" x14ac:dyDescent="0.25">
      <c r="A122" s="18" t="s">
        <v>857</v>
      </c>
      <c r="B122" s="13" t="s">
        <v>858</v>
      </c>
      <c r="C122" s="14"/>
      <c r="D122" s="14">
        <f>D117</f>
        <v>0</v>
      </c>
    </row>
    <row r="123" spans="1:4" ht="15.75" customHeight="1" thickBot="1" x14ac:dyDescent="0.3">
      <c r="A123" s="593" t="s">
        <v>752</v>
      </c>
      <c r="B123" s="594"/>
      <c r="C123" s="172"/>
      <c r="D123" s="173">
        <f>SUM(D121:D122)</f>
        <v>252.02842397394011</v>
      </c>
    </row>
    <row r="124" spans="1:4" ht="8.1" customHeight="1" x14ac:dyDescent="0.25">
      <c r="A124" s="153"/>
      <c r="B124" s="154"/>
      <c r="C124" s="155"/>
      <c r="D124" s="156"/>
    </row>
    <row r="125" spans="1:4" ht="8.1" customHeight="1" thickBot="1" x14ac:dyDescent="0.3">
      <c r="A125" s="125"/>
      <c r="B125" s="42"/>
      <c r="C125" s="140"/>
      <c r="D125" s="127"/>
    </row>
    <row r="126" spans="1:4" ht="18" customHeight="1" x14ac:dyDescent="0.25">
      <c r="A126" s="591" t="s">
        <v>859</v>
      </c>
      <c r="B126" s="592"/>
      <c r="C126" s="12"/>
      <c r="D126" s="150" t="s">
        <v>734</v>
      </c>
    </row>
    <row r="127" spans="1:4" ht="15.75" customHeight="1" x14ac:dyDescent="0.25">
      <c r="A127" s="174" t="s">
        <v>860</v>
      </c>
      <c r="B127" s="175" t="s">
        <v>861</v>
      </c>
      <c r="C127" s="176"/>
      <c r="D127" s="44">
        <f>tbUNIFORMESL[[#Totals],[VL. MENSAL]]</f>
        <v>167.72833333333332</v>
      </c>
    </row>
    <row r="128" spans="1:4" ht="15.75" customHeight="1" x14ac:dyDescent="0.25">
      <c r="A128" s="174" t="s">
        <v>862</v>
      </c>
      <c r="B128" s="175" t="s">
        <v>863</v>
      </c>
      <c r="C128" s="176"/>
      <c r="D128" s="44">
        <v>0</v>
      </c>
    </row>
    <row r="129" spans="1:4" ht="15.75" customHeight="1" x14ac:dyDescent="0.25">
      <c r="A129" s="174" t="s">
        <v>864</v>
      </c>
      <c r="B129" s="175" t="s">
        <v>865</v>
      </c>
      <c r="C129" s="176"/>
      <c r="D129" s="44">
        <v>0</v>
      </c>
    </row>
    <row r="130" spans="1:4" ht="15.75" customHeight="1" x14ac:dyDescent="0.25">
      <c r="A130" s="174" t="s">
        <v>866</v>
      </c>
      <c r="B130" s="175" t="s">
        <v>867</v>
      </c>
      <c r="C130" s="176"/>
      <c r="D130" s="44">
        <v>0</v>
      </c>
    </row>
    <row r="131" spans="1:4" ht="15.75" customHeight="1" thickBot="1" x14ac:dyDescent="0.3">
      <c r="A131" s="593" t="s">
        <v>752</v>
      </c>
      <c r="B131" s="594"/>
      <c r="C131" s="172"/>
      <c r="D131" s="173">
        <f>SUM(D127:D130)</f>
        <v>167.72833333333332</v>
      </c>
    </row>
    <row r="132" spans="1:4" ht="15.95" customHeight="1" thickBot="1" x14ac:dyDescent="0.3">
      <c r="A132" s="4"/>
      <c r="B132" s="1"/>
      <c r="C132" s="22"/>
      <c r="D132" s="6"/>
    </row>
    <row r="133" spans="1:4" ht="18" customHeight="1" x14ac:dyDescent="0.25">
      <c r="A133" s="591" t="s">
        <v>868</v>
      </c>
      <c r="B133" s="592"/>
      <c r="C133" s="12"/>
      <c r="D133" s="150" t="s">
        <v>734</v>
      </c>
    </row>
    <row r="134" spans="1:4" ht="8.1" customHeight="1" x14ac:dyDescent="0.25">
      <c r="A134" s="7"/>
      <c r="C134" s="8"/>
      <c r="D134" s="127"/>
    </row>
    <row r="135" spans="1:4" ht="15.75" customHeight="1" x14ac:dyDescent="0.25">
      <c r="A135" s="587" t="s">
        <v>869</v>
      </c>
      <c r="B135" s="588"/>
      <c r="C135" s="151"/>
      <c r="D135" s="152">
        <f>SUM(D37,D82,D94,D123,D131)</f>
        <v>3852.6365712630741</v>
      </c>
    </row>
    <row r="136" spans="1:4" ht="8.1" customHeight="1" x14ac:dyDescent="0.25">
      <c r="A136" s="7"/>
      <c r="C136" s="8"/>
      <c r="D136" s="127"/>
    </row>
    <row r="137" spans="1:4" ht="15.75" customHeight="1" x14ac:dyDescent="0.25">
      <c r="A137" s="66" t="s">
        <v>870</v>
      </c>
      <c r="B137" s="34" t="s">
        <v>871</v>
      </c>
      <c r="C137" s="67">
        <v>0.05</v>
      </c>
      <c r="D137" s="35">
        <f>D$135*C137</f>
        <v>192.6318285631537</v>
      </c>
    </row>
    <row r="138" spans="1:4" ht="15.75" customHeight="1" x14ac:dyDescent="0.25">
      <c r="A138" s="66" t="s">
        <v>872</v>
      </c>
      <c r="B138" s="34" t="s">
        <v>873</v>
      </c>
      <c r="C138" s="67">
        <v>0.1</v>
      </c>
      <c r="D138" s="35">
        <f>SUM(D135,D137)*C138</f>
        <v>404.52683998262279</v>
      </c>
    </row>
    <row r="139" spans="1:4" ht="8.1" customHeight="1" x14ac:dyDescent="0.25">
      <c r="A139" s="7"/>
      <c r="C139" s="8"/>
      <c r="D139" s="127"/>
    </row>
    <row r="140" spans="1:4" ht="15.75" customHeight="1" x14ac:dyDescent="0.25">
      <c r="A140" s="587" t="s">
        <v>874</v>
      </c>
      <c r="B140" s="588"/>
      <c r="C140" s="151"/>
      <c r="D140" s="152">
        <f>SUM(D135,D137:D138)</f>
        <v>4449.795239808851</v>
      </c>
    </row>
    <row r="141" spans="1:4" ht="8.1" customHeight="1" x14ac:dyDescent="0.25">
      <c r="A141" s="7"/>
      <c r="C141" s="8"/>
      <c r="D141" s="127"/>
    </row>
    <row r="142" spans="1:4" ht="15.75" customHeight="1" x14ac:dyDescent="0.25">
      <c r="A142" s="18" t="s">
        <v>875</v>
      </c>
      <c r="B142" s="13" t="s">
        <v>876</v>
      </c>
      <c r="C142" s="19">
        <f>'DADOS CCT'!D39</f>
        <v>7.5999999999999998E-2</v>
      </c>
      <c r="D142" s="14">
        <f>(D$140/(1-C$146))*C142</f>
        <v>385.39537119711991</v>
      </c>
    </row>
    <row r="143" spans="1:4" ht="15.75" customHeight="1" x14ac:dyDescent="0.25">
      <c r="A143" s="18" t="s">
        <v>877</v>
      </c>
      <c r="B143" s="13" t="s">
        <v>878</v>
      </c>
      <c r="C143" s="19">
        <f>'DADOS CCT'!D38</f>
        <v>1.6500000000000001E-2</v>
      </c>
      <c r="D143" s="14">
        <f>(D$140/(1-C$146))*C143</f>
        <v>83.671363483585253</v>
      </c>
    </row>
    <row r="144" spans="1:4" ht="15.75" customHeight="1" x14ac:dyDescent="0.25">
      <c r="A144" s="18" t="s">
        <v>879</v>
      </c>
      <c r="B144" s="13" t="s">
        <v>880</v>
      </c>
      <c r="C144" s="15"/>
      <c r="D144" s="14">
        <f>(D$140/(1-C$146))*C144</f>
        <v>0</v>
      </c>
    </row>
    <row r="145" spans="1:4" ht="15.75" customHeight="1" x14ac:dyDescent="0.25">
      <c r="A145" s="18" t="s">
        <v>881</v>
      </c>
      <c r="B145" s="13" t="s">
        <v>882</v>
      </c>
      <c r="C145" s="19">
        <f>'DADOS CCT'!D37</f>
        <v>0.03</v>
      </c>
      <c r="D145" s="14">
        <f>(D$140/(1-C$146))*C145</f>
        <v>152.12975178833679</v>
      </c>
    </row>
    <row r="146" spans="1:4" ht="15.75" customHeight="1" thickBot="1" x14ac:dyDescent="0.3">
      <c r="A146" s="599" t="s">
        <v>752</v>
      </c>
      <c r="B146" s="600"/>
      <c r="C146" s="43">
        <f>SUM(C142:C145)</f>
        <v>0.1225</v>
      </c>
      <c r="D146" s="39">
        <f>SUM(D137:D138,D142:D145)</f>
        <v>1218.3551550148184</v>
      </c>
    </row>
    <row r="147" spans="1:4" ht="15.95" customHeight="1" thickBot="1" x14ac:dyDescent="0.3">
      <c r="A147" s="4"/>
      <c r="B147" s="1"/>
      <c r="C147" s="22"/>
      <c r="D147" s="6"/>
    </row>
    <row r="148" spans="1:4" ht="18" customHeight="1" x14ac:dyDescent="0.25">
      <c r="A148" s="601" t="s">
        <v>883</v>
      </c>
      <c r="B148" s="602"/>
      <c r="C148" s="170"/>
      <c r="D148" s="171" t="s">
        <v>734</v>
      </c>
    </row>
    <row r="149" spans="1:4" ht="15.75" customHeight="1" x14ac:dyDescent="0.25">
      <c r="A149" s="45"/>
      <c r="B149" s="46" t="s">
        <v>884</v>
      </c>
      <c r="C149" s="136"/>
      <c r="D149" s="28">
        <f>D37</f>
        <v>1708.5656363636365</v>
      </c>
    </row>
    <row r="150" spans="1:4" ht="15.75" customHeight="1" x14ac:dyDescent="0.25">
      <c r="A150" s="45"/>
      <c r="B150" s="46" t="s">
        <v>885</v>
      </c>
      <c r="C150" s="136"/>
      <c r="D150" s="28">
        <f>D82</f>
        <v>1541.4207690476183</v>
      </c>
    </row>
    <row r="151" spans="1:4" ht="15.75" customHeight="1" x14ac:dyDescent="0.25">
      <c r="A151" s="45"/>
      <c r="B151" s="46" t="s">
        <v>886</v>
      </c>
      <c r="C151" s="143"/>
      <c r="D151" s="28">
        <f>D94</f>
        <v>182.89340854454548</v>
      </c>
    </row>
    <row r="152" spans="1:4" ht="15.75" customHeight="1" x14ac:dyDescent="0.25">
      <c r="A152" s="45"/>
      <c r="B152" s="46" t="s">
        <v>887</v>
      </c>
      <c r="C152" s="136"/>
      <c r="D152" s="28">
        <f>D123</f>
        <v>252.02842397394011</v>
      </c>
    </row>
    <row r="153" spans="1:4" ht="15.75" customHeight="1" x14ac:dyDescent="0.25">
      <c r="A153" s="45"/>
      <c r="B153" s="46" t="s">
        <v>888</v>
      </c>
      <c r="C153" s="136"/>
      <c r="D153" s="28">
        <f>D131</f>
        <v>167.72833333333332</v>
      </c>
    </row>
    <row r="154" spans="1:4" ht="15.75" customHeight="1" x14ac:dyDescent="0.25">
      <c r="A154" s="585" t="s">
        <v>752</v>
      </c>
      <c r="B154" s="412"/>
      <c r="C154" s="137"/>
      <c r="D154" s="138">
        <f>SUM(D149:D153)</f>
        <v>3852.6365712630741</v>
      </c>
    </row>
    <row r="155" spans="1:4" ht="15.75" customHeight="1" x14ac:dyDescent="0.25">
      <c r="A155" s="45"/>
      <c r="B155" s="46" t="s">
        <v>889</v>
      </c>
      <c r="C155" s="143"/>
      <c r="D155" s="28">
        <f>D146</f>
        <v>1218.3551550148184</v>
      </c>
    </row>
    <row r="156" spans="1:4" ht="15.75" customHeight="1" thickBot="1" x14ac:dyDescent="0.35">
      <c r="A156" s="603" t="s">
        <v>890</v>
      </c>
      <c r="B156" s="604"/>
      <c r="C156" s="168"/>
      <c r="D156" s="169">
        <f>TRUNC(SUM(D154:D155),2)</f>
        <v>5070.99</v>
      </c>
    </row>
    <row r="157" spans="1:4" ht="8.1" customHeight="1" thickBot="1" x14ac:dyDescent="0.3">
      <c r="A157" s="9"/>
      <c r="B157" s="10"/>
      <c r="C157" s="21"/>
      <c r="D157" s="11"/>
    </row>
    <row r="158" spans="1:4" ht="15.75" customHeight="1" thickBot="1" x14ac:dyDescent="0.3">
      <c r="A158" s="605" t="s">
        <v>891</v>
      </c>
      <c r="B158" s="470"/>
      <c r="C158" s="166"/>
      <c r="D158" s="167">
        <v>1</v>
      </c>
    </row>
    <row r="159" spans="1:4" ht="8.1" customHeight="1" thickBot="1" x14ac:dyDescent="0.3">
      <c r="A159" s="9"/>
      <c r="B159" s="10"/>
      <c r="C159" s="21"/>
      <c r="D159" s="11"/>
    </row>
    <row r="160" spans="1:4" ht="15.75" customHeight="1" thickBot="1" x14ac:dyDescent="0.35">
      <c r="A160" s="597" t="s">
        <v>892</v>
      </c>
      <c r="B160" s="598"/>
      <c r="C160" s="164"/>
      <c r="D160" s="165">
        <f>TRUNC(D156*D158,2)</f>
        <v>5070.99</v>
      </c>
    </row>
    <row r="161" spans="1:4" ht="15.95" customHeight="1" thickBot="1" x14ac:dyDescent="0.3"/>
    <row r="162" spans="1:4" ht="15.75" customHeight="1" thickBot="1" x14ac:dyDescent="0.35">
      <c r="A162" s="561" t="s">
        <v>893</v>
      </c>
      <c r="B162" s="562"/>
      <c r="C162" s="162"/>
      <c r="D162" s="163">
        <f>D156/D37</f>
        <v>2.9679807975025514</v>
      </c>
    </row>
    <row r="163" spans="1:4" ht="15.95" customHeight="1" thickBot="1" x14ac:dyDescent="0.3">
      <c r="A163" s="33"/>
      <c r="B163" s="33"/>
      <c r="C163" s="33"/>
    </row>
    <row r="164" spans="1:4" ht="15.75" customHeight="1" x14ac:dyDescent="0.3">
      <c r="A164" s="551" t="s">
        <v>894</v>
      </c>
      <c r="B164" s="551"/>
      <c r="C164" s="160"/>
      <c r="D164" s="161"/>
    </row>
    <row r="165" spans="1:4" ht="15" customHeight="1" thickBot="1" x14ac:dyDescent="0.3">
      <c r="A165" s="157"/>
      <c r="B165" s="157" t="s">
        <v>895</v>
      </c>
      <c r="C165" s="157"/>
      <c r="D165" s="158">
        <f>TRUNC(D156/C$18,2)</f>
        <v>241.47</v>
      </c>
    </row>
  </sheetData>
  <mergeCells count="65">
    <mergeCell ref="C15:D15"/>
    <mergeCell ref="C3:D3"/>
    <mergeCell ref="C4:D4"/>
    <mergeCell ref="C5:D5"/>
    <mergeCell ref="A7:B7"/>
    <mergeCell ref="C8:D8"/>
    <mergeCell ref="C9:D9"/>
    <mergeCell ref="C10:D10"/>
    <mergeCell ref="C11:D11"/>
    <mergeCell ref="C12:D12"/>
    <mergeCell ref="C13:D13"/>
    <mergeCell ref="C14:D14"/>
    <mergeCell ref="A33:B33"/>
    <mergeCell ref="C16:D16"/>
    <mergeCell ref="C17:D17"/>
    <mergeCell ref="C18:D18"/>
    <mergeCell ref="C19:D19"/>
    <mergeCell ref="C20:D20"/>
    <mergeCell ref="C21:D21"/>
    <mergeCell ref="C22:D22"/>
    <mergeCell ref="C23:D23"/>
    <mergeCell ref="A25:B25"/>
    <mergeCell ref="C25:D25"/>
    <mergeCell ref="A27:B27"/>
    <mergeCell ref="A76:B76"/>
    <mergeCell ref="A37:B37"/>
    <mergeCell ref="A38:B38"/>
    <mergeCell ref="A40:B40"/>
    <mergeCell ref="A42:B42"/>
    <mergeCell ref="A45:B45"/>
    <mergeCell ref="A46:B46"/>
    <mergeCell ref="A48:B48"/>
    <mergeCell ref="A58:B58"/>
    <mergeCell ref="A59:B59"/>
    <mergeCell ref="A61:B61"/>
    <mergeCell ref="A75:B75"/>
    <mergeCell ref="A114:B114"/>
    <mergeCell ref="A78:B78"/>
    <mergeCell ref="A82:B82"/>
    <mergeCell ref="A85:B85"/>
    <mergeCell ref="A94:B94"/>
    <mergeCell ref="A95:B95"/>
    <mergeCell ref="A97:B97"/>
    <mergeCell ref="A99:B99"/>
    <mergeCell ref="A101:B101"/>
    <mergeCell ref="A109:B109"/>
    <mergeCell ref="A111:B111"/>
    <mergeCell ref="A112:B112"/>
    <mergeCell ref="A154:B154"/>
    <mergeCell ref="A117:B117"/>
    <mergeCell ref="A118:B118"/>
    <mergeCell ref="A120:B120"/>
    <mergeCell ref="A123:B123"/>
    <mergeCell ref="A126:B126"/>
    <mergeCell ref="A131:B131"/>
    <mergeCell ref="A133:B133"/>
    <mergeCell ref="A135:B135"/>
    <mergeCell ref="A140:B140"/>
    <mergeCell ref="A146:B146"/>
    <mergeCell ref="A148:B148"/>
    <mergeCell ref="A156:B156"/>
    <mergeCell ref="A158:B158"/>
    <mergeCell ref="A160:B160"/>
    <mergeCell ref="A162:B162"/>
    <mergeCell ref="A164:B164"/>
  </mergeCells>
  <pageMargins left="0.70866141732283472" right="0.70866141732283472" top="0.74803149606299213" bottom="0.74803149606299213" header="0" footer="0"/>
  <pageSetup paperSize="9" scale="80" fitToHeight="0" orientation="portrait" r:id="rId1"/>
  <rowBreaks count="4" manualBreakCount="4">
    <brk id="38" max="3" man="1"/>
    <brk id="83" max="3" man="1"/>
    <brk id="90" max="16383" man="1"/>
    <brk id="124" max="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9750E-1F98-4E6C-B5EF-6E96E2B5BFF3}">
  <sheetPr>
    <tabColor theme="5" tint="0.39997558519241921"/>
    <outlinePr summaryBelow="0"/>
    <pageSetUpPr fitToPage="1"/>
  </sheetPr>
  <dimension ref="A1:D165"/>
  <sheetViews>
    <sheetView workbookViewId="0"/>
  </sheetViews>
  <sheetFormatPr defaultColWidth="14.42578125" defaultRowHeight="15" customHeight="1" x14ac:dyDescent="0.25"/>
  <cols>
    <col min="1" max="1" width="6.7109375" customWidth="1"/>
    <col min="2" max="2" width="64.7109375" customWidth="1"/>
    <col min="3" max="3" width="18.7109375" customWidth="1"/>
    <col min="4" max="4" width="18.7109375" style="33" customWidth="1"/>
    <col min="5" max="16384" width="14.42578125" style="159"/>
  </cols>
  <sheetData>
    <row r="1" spans="1:4" ht="40.5" customHeight="1" x14ac:dyDescent="0.25">
      <c r="A1" s="38"/>
      <c r="B1" s="313" t="s">
        <v>692</v>
      </c>
      <c r="C1" s="37"/>
      <c r="D1" s="37"/>
    </row>
    <row r="2" spans="1:4" ht="15.95" customHeight="1" thickBot="1" x14ac:dyDescent="0.3">
      <c r="A2" s="125"/>
      <c r="B2" s="42"/>
      <c r="C2" s="126"/>
      <c r="D2" s="127"/>
    </row>
    <row r="3" spans="1:4" ht="15" customHeight="1" x14ac:dyDescent="0.25">
      <c r="A3" s="192"/>
      <c r="B3" s="314" t="s">
        <v>693</v>
      </c>
      <c r="C3" s="552"/>
      <c r="D3" s="552"/>
    </row>
    <row r="4" spans="1:4" ht="15" customHeight="1" x14ac:dyDescent="0.25">
      <c r="A4" s="193"/>
      <c r="B4" s="274" t="s">
        <v>694</v>
      </c>
      <c r="C4" s="553"/>
      <c r="D4" s="553"/>
    </row>
    <row r="5" spans="1:4" ht="15.75" customHeight="1" thickBot="1" x14ac:dyDescent="0.3">
      <c r="A5" s="194"/>
      <c r="B5" s="195" t="s">
        <v>695</v>
      </c>
      <c r="C5" s="554"/>
      <c r="D5" s="554"/>
    </row>
    <row r="6" spans="1:4" ht="15.95" customHeight="1" thickBot="1" x14ac:dyDescent="0.3">
      <c r="A6" s="125"/>
      <c r="B6" s="42"/>
      <c r="C6" s="126"/>
      <c r="D6" s="127"/>
    </row>
    <row r="7" spans="1:4" ht="15" customHeight="1" x14ac:dyDescent="0.25">
      <c r="A7" s="563" t="s">
        <v>696</v>
      </c>
      <c r="B7" s="564"/>
      <c r="C7" s="128"/>
      <c r="D7" s="129"/>
    </row>
    <row r="8" spans="1:4" ht="15" customHeight="1" x14ac:dyDescent="0.25">
      <c r="A8" s="45" t="s">
        <v>697</v>
      </c>
      <c r="B8" s="263" t="s">
        <v>698</v>
      </c>
      <c r="C8" s="555"/>
      <c r="D8" s="555"/>
    </row>
    <row r="9" spans="1:4" ht="15" customHeight="1" x14ac:dyDescent="0.25">
      <c r="A9" s="45" t="s">
        <v>699</v>
      </c>
      <c r="B9" s="263" t="s">
        <v>700</v>
      </c>
      <c r="C9" s="555" t="str">
        <f>'DADOS CCT'!B25</f>
        <v>CACHOEIRA DO SUL</v>
      </c>
      <c r="D9" s="555"/>
    </row>
    <row r="10" spans="1:4" ht="15" customHeight="1" x14ac:dyDescent="0.25">
      <c r="A10" s="45" t="s">
        <v>701</v>
      </c>
      <c r="B10" s="263" t="s">
        <v>702</v>
      </c>
      <c r="C10" s="555" t="str">
        <f>'DADOS CCT'!C25&amp;" - "&amp;'DADOS CCT'!D26</f>
        <v>SEEAC/RS - RS004917/2023</v>
      </c>
      <c r="D10" s="555"/>
    </row>
    <row r="11" spans="1:4" ht="15" customHeight="1" x14ac:dyDescent="0.25">
      <c r="A11" s="45" t="s">
        <v>703</v>
      </c>
      <c r="B11" s="263" t="s">
        <v>704</v>
      </c>
      <c r="C11" s="556">
        <v>12</v>
      </c>
      <c r="D11" s="556"/>
    </row>
    <row r="12" spans="1:4" ht="15" customHeight="1" x14ac:dyDescent="0.25">
      <c r="A12" s="45" t="s">
        <v>705</v>
      </c>
      <c r="B12" s="263" t="s">
        <v>706</v>
      </c>
      <c r="C12" s="557">
        <f>'DADOS CCT'!D27</f>
        <v>45292</v>
      </c>
      <c r="D12" s="557"/>
    </row>
    <row r="13" spans="1:4" ht="29.25" customHeight="1" x14ac:dyDescent="0.25">
      <c r="A13" s="45" t="s">
        <v>707</v>
      </c>
      <c r="B13" s="315" t="s">
        <v>708</v>
      </c>
      <c r="C13" s="558" t="s">
        <v>709</v>
      </c>
      <c r="D13" s="558"/>
    </row>
    <row r="14" spans="1:4" x14ac:dyDescent="0.25">
      <c r="A14" s="130" t="s">
        <v>710</v>
      </c>
      <c r="B14" s="131" t="s">
        <v>711</v>
      </c>
      <c r="C14" s="559" t="s">
        <v>712</v>
      </c>
      <c r="D14" s="559"/>
    </row>
    <row r="15" spans="1:4" x14ac:dyDescent="0.25">
      <c r="A15" s="130" t="s">
        <v>713</v>
      </c>
      <c r="B15" s="131" t="s">
        <v>714</v>
      </c>
      <c r="C15" s="559" t="s">
        <v>897</v>
      </c>
      <c r="D15" s="559"/>
    </row>
    <row r="16" spans="1:4" x14ac:dyDescent="0.25">
      <c r="A16" s="130" t="s">
        <v>716</v>
      </c>
      <c r="B16" s="131" t="s">
        <v>717</v>
      </c>
      <c r="C16" s="559" t="str">
        <f ca="1">RIGHT(CELL("nome.arquivo",A1),LEN(CELL("nome.arquivo",A1))-SEARCH("]",CELL("nome.arquivo",A1)))</f>
        <v>5143-20 AUX.LB 5x2 DIURNO CS</v>
      </c>
      <c r="D16" s="559"/>
    </row>
    <row r="17" spans="1:4" x14ac:dyDescent="0.25">
      <c r="A17" s="130" t="s">
        <v>718</v>
      </c>
      <c r="B17" s="131" t="s">
        <v>719</v>
      </c>
      <c r="C17" s="560" t="s">
        <v>1197</v>
      </c>
      <c r="D17" s="560"/>
    </row>
    <row r="18" spans="1:4" x14ac:dyDescent="0.25">
      <c r="A18" s="130" t="s">
        <v>721</v>
      </c>
      <c r="B18" s="131" t="s">
        <v>722</v>
      </c>
      <c r="C18" s="560">
        <v>21</v>
      </c>
      <c r="D18" s="560"/>
    </row>
    <row r="19" spans="1:4" ht="15.75" customHeight="1" x14ac:dyDescent="0.25">
      <c r="A19" s="130" t="s">
        <v>723</v>
      </c>
      <c r="B19" s="131" t="s">
        <v>724</v>
      </c>
      <c r="C19" s="560">
        <f>'DADOS CCT'!D28</f>
        <v>1540.51</v>
      </c>
      <c r="D19" s="560"/>
    </row>
    <row r="20" spans="1:4" ht="15.75" customHeight="1" x14ac:dyDescent="0.25">
      <c r="A20" s="130" t="s">
        <v>725</v>
      </c>
      <c r="B20" s="132" t="s">
        <v>726</v>
      </c>
      <c r="C20" s="573">
        <f>C19/220</f>
        <v>7.0023181818181817</v>
      </c>
      <c r="D20" s="573"/>
    </row>
    <row r="21" spans="1:4" ht="15.75" customHeight="1" x14ac:dyDescent="0.25">
      <c r="A21" s="130" t="s">
        <v>727</v>
      </c>
      <c r="B21" s="132" t="s">
        <v>728</v>
      </c>
      <c r="C21" s="573">
        <f>C20*1.5</f>
        <v>10.503477272727272</v>
      </c>
      <c r="D21" s="573"/>
    </row>
    <row r="22" spans="1:4" ht="15.75" customHeight="1" x14ac:dyDescent="0.25">
      <c r="A22" s="130" t="s">
        <v>729</v>
      </c>
      <c r="B22" s="132" t="s">
        <v>730</v>
      </c>
      <c r="C22" s="573">
        <f>C20*2</f>
        <v>14.004636363636363</v>
      </c>
      <c r="D22" s="573"/>
    </row>
    <row r="23" spans="1:4" ht="15.75" customHeight="1" thickBot="1" x14ac:dyDescent="0.3">
      <c r="A23" s="133" t="s">
        <v>731</v>
      </c>
      <c r="B23" s="134" t="s">
        <v>732</v>
      </c>
      <c r="C23" s="574">
        <f>C20*0.2</f>
        <v>1.4004636363636365</v>
      </c>
      <c r="D23" s="574"/>
    </row>
    <row r="24" spans="1:4" ht="15.95" customHeight="1" thickBot="1" x14ac:dyDescent="0.3">
      <c r="A24" s="125"/>
      <c r="B24" s="42"/>
      <c r="C24" s="126"/>
      <c r="D24" s="127"/>
    </row>
    <row r="25" spans="1:4" ht="15.75" thickBot="1" x14ac:dyDescent="0.3">
      <c r="A25" s="565"/>
      <c r="B25" s="566"/>
      <c r="C25" s="567" t="str">
        <f>'DADOS CCT'!D3</f>
        <v>00 - VALOR ESTIMADO</v>
      </c>
      <c r="D25" s="568"/>
    </row>
    <row r="26" spans="1:4" ht="6" customHeight="1" thickBot="1" x14ac:dyDescent="0.3">
      <c r="A26" s="4"/>
      <c r="B26" s="1"/>
      <c r="C26" s="5"/>
      <c r="D26" s="6"/>
    </row>
    <row r="27" spans="1:4" ht="18" customHeight="1" x14ac:dyDescent="0.25">
      <c r="A27" s="569" t="s">
        <v>733</v>
      </c>
      <c r="B27" s="570"/>
      <c r="C27" s="190"/>
      <c r="D27" s="191" t="s">
        <v>734</v>
      </c>
    </row>
    <row r="28" spans="1:4" ht="15.75" customHeight="1" x14ac:dyDescent="0.25">
      <c r="A28" s="45" t="s">
        <v>735</v>
      </c>
      <c r="B28" s="46" t="s">
        <v>736</v>
      </c>
      <c r="C28" s="135">
        <v>200</v>
      </c>
      <c r="D28" s="28">
        <f>C28*C19/220</f>
        <v>1400.4636363636364</v>
      </c>
    </row>
    <row r="29" spans="1:4" ht="15.75" customHeight="1" x14ac:dyDescent="0.25">
      <c r="A29" s="45" t="s">
        <v>737</v>
      </c>
      <c r="B29" s="46" t="s">
        <v>738</v>
      </c>
      <c r="C29" s="136"/>
      <c r="D29" s="28">
        <f>D$28*C29</f>
        <v>0</v>
      </c>
    </row>
    <row r="30" spans="1:4" ht="15.75" customHeight="1" x14ac:dyDescent="0.25">
      <c r="A30" s="45" t="s">
        <v>739</v>
      </c>
      <c r="B30" s="46" t="s">
        <v>740</v>
      </c>
      <c r="C30" s="136">
        <v>0.4</v>
      </c>
      <c r="D30" s="208">
        <f>C30*C19</f>
        <v>616.20400000000006</v>
      </c>
    </row>
    <row r="31" spans="1:4" ht="15.75" customHeight="1" x14ac:dyDescent="0.25">
      <c r="A31" s="45" t="s">
        <v>741</v>
      </c>
      <c r="B31" s="46" t="s">
        <v>742</v>
      </c>
      <c r="C31" s="28"/>
      <c r="D31" s="28">
        <f>(D28/C28)*0.2*C31*(60/52.5)</f>
        <v>0</v>
      </c>
    </row>
    <row r="32" spans="1:4" ht="15.75" customHeight="1" x14ac:dyDescent="0.25">
      <c r="A32" s="45" t="s">
        <v>743</v>
      </c>
      <c r="B32" s="46" t="s">
        <v>744</v>
      </c>
      <c r="C32" s="28"/>
      <c r="D32" s="28">
        <f>(D28/C28)*1.5*C32</f>
        <v>0</v>
      </c>
    </row>
    <row r="33" spans="1:4" ht="15.75" customHeight="1" x14ac:dyDescent="0.25">
      <c r="A33" s="571" t="s">
        <v>745</v>
      </c>
      <c r="B33" s="572"/>
      <c r="C33" s="184"/>
      <c r="D33" s="185">
        <f>SUM(D28:D32)</f>
        <v>2016.6676363636366</v>
      </c>
    </row>
    <row r="34" spans="1:4" ht="15.75" customHeight="1" x14ac:dyDescent="0.25">
      <c r="A34" s="45" t="s">
        <v>746</v>
      </c>
      <c r="B34" s="46" t="s">
        <v>747</v>
      </c>
      <c r="C34" s="28"/>
      <c r="D34" s="28">
        <f>15*C34*(D28/C28)*1.5</f>
        <v>0</v>
      </c>
    </row>
    <row r="35" spans="1:4" ht="15.75" customHeight="1" x14ac:dyDescent="0.25">
      <c r="A35" s="45" t="s">
        <v>748</v>
      </c>
      <c r="B35" s="46" t="s">
        <v>749</v>
      </c>
      <c r="C35" s="139">
        <f>'DADOS CCT'!D30</f>
        <v>0</v>
      </c>
      <c r="D35" s="28">
        <f>D28*C35</f>
        <v>0</v>
      </c>
    </row>
    <row r="36" spans="1:4" ht="15.75" customHeight="1" x14ac:dyDescent="0.25">
      <c r="A36" s="45" t="s">
        <v>750</v>
      </c>
      <c r="B36" s="46" t="s">
        <v>751</v>
      </c>
      <c r="C36" s="136"/>
      <c r="D36" s="28">
        <f>D$28*C36</f>
        <v>0</v>
      </c>
    </row>
    <row r="37" spans="1:4" ht="15.75" customHeight="1" thickBot="1" x14ac:dyDescent="0.3">
      <c r="A37" s="575" t="s">
        <v>752</v>
      </c>
      <c r="B37" s="576"/>
      <c r="C37" s="188"/>
      <c r="D37" s="189">
        <f>SUM(D33:D36)</f>
        <v>2016.6676363636366</v>
      </c>
    </row>
    <row r="38" spans="1:4" ht="24" customHeight="1" x14ac:dyDescent="0.25">
      <c r="A38" s="577" t="s">
        <v>1233</v>
      </c>
      <c r="B38" s="578"/>
      <c r="C38" s="8"/>
      <c r="D38" s="127"/>
    </row>
    <row r="39" spans="1:4" ht="8.1" customHeight="1" thickBot="1" x14ac:dyDescent="0.3">
      <c r="A39" s="7"/>
      <c r="B39" s="16"/>
      <c r="C39" s="8"/>
      <c r="D39" s="127"/>
    </row>
    <row r="40" spans="1:4" ht="18" customHeight="1" x14ac:dyDescent="0.25">
      <c r="A40" s="579" t="s">
        <v>753</v>
      </c>
      <c r="B40" s="580"/>
      <c r="C40" s="142"/>
      <c r="D40" s="187"/>
    </row>
    <row r="41" spans="1:4" ht="6" customHeight="1" x14ac:dyDescent="0.25">
      <c r="A41" s="125"/>
      <c r="B41" s="42"/>
      <c r="C41" s="126"/>
      <c r="D41" s="127"/>
    </row>
    <row r="42" spans="1:4" ht="15.75" customHeight="1" x14ac:dyDescent="0.25">
      <c r="A42" s="581" t="s">
        <v>754</v>
      </c>
      <c r="B42" s="572"/>
      <c r="C42" s="182"/>
      <c r="D42" s="183" t="s">
        <v>734</v>
      </c>
    </row>
    <row r="43" spans="1:4" ht="15" customHeight="1" x14ac:dyDescent="0.25">
      <c r="A43" s="45" t="s">
        <v>755</v>
      </c>
      <c r="B43" s="46" t="s">
        <v>756</v>
      </c>
      <c r="C43" s="136">
        <v>8.3299999999999999E-2</v>
      </c>
      <c r="D43" s="28">
        <f>D$33*C43</f>
        <v>167.98841410909091</v>
      </c>
    </row>
    <row r="44" spans="1:4" ht="15" customHeight="1" x14ac:dyDescent="0.25">
      <c r="A44" s="45" t="s">
        <v>757</v>
      </c>
      <c r="B44" s="46" t="s">
        <v>758</v>
      </c>
      <c r="C44" s="143">
        <v>3.0249999999999999E-2</v>
      </c>
      <c r="D44" s="28">
        <f>D$33*C44</f>
        <v>61.004196000000007</v>
      </c>
    </row>
    <row r="45" spans="1:4" ht="15.75" customHeight="1" x14ac:dyDescent="0.25">
      <c r="A45" s="582" t="s">
        <v>752</v>
      </c>
      <c r="B45" s="572"/>
      <c r="C45" s="186"/>
      <c r="D45" s="185">
        <f>SUM(D43:D44)</f>
        <v>228.99261010909092</v>
      </c>
    </row>
    <row r="46" spans="1:4" ht="37.5" customHeight="1" x14ac:dyDescent="0.25">
      <c r="A46" s="583" t="s">
        <v>759</v>
      </c>
      <c r="B46" s="584"/>
      <c r="C46" s="141"/>
      <c r="D46" s="41"/>
    </row>
    <row r="47" spans="1:4" ht="8.1" customHeight="1" x14ac:dyDescent="0.25">
      <c r="A47" s="125"/>
      <c r="B47" s="33"/>
      <c r="C47" s="126"/>
      <c r="D47" s="127"/>
    </row>
    <row r="48" spans="1:4" ht="15.75" customHeight="1" x14ac:dyDescent="0.25">
      <c r="A48" s="581" t="s">
        <v>760</v>
      </c>
      <c r="B48" s="572"/>
      <c r="C48" s="182"/>
      <c r="D48" s="183" t="s">
        <v>734</v>
      </c>
    </row>
    <row r="49" spans="1:4" ht="15" customHeight="1" x14ac:dyDescent="0.25">
      <c r="A49" s="45" t="s">
        <v>761</v>
      </c>
      <c r="B49" s="46" t="s">
        <v>762</v>
      </c>
      <c r="C49" s="136">
        <v>0.2</v>
      </c>
      <c r="D49" s="28">
        <f t="shared" ref="D49:D57" si="0">(D$33+D$45)*C49</f>
        <v>449.13204929454554</v>
      </c>
    </row>
    <row r="50" spans="1:4" ht="15" customHeight="1" x14ac:dyDescent="0.25">
      <c r="A50" s="45" t="s">
        <v>763</v>
      </c>
      <c r="B50" s="46" t="s">
        <v>764</v>
      </c>
      <c r="C50" s="136">
        <v>2.5000000000000001E-2</v>
      </c>
      <c r="D50" s="28">
        <f t="shared" si="0"/>
        <v>56.141506161818192</v>
      </c>
    </row>
    <row r="51" spans="1:4" ht="15" customHeight="1" x14ac:dyDescent="0.25">
      <c r="A51" s="45" t="s">
        <v>765</v>
      </c>
      <c r="B51" s="46" t="s">
        <v>766</v>
      </c>
      <c r="C51" s="144">
        <f>'DADOS CCT'!D$40*'DADOS CCT'!D$41</f>
        <v>0.06</v>
      </c>
      <c r="D51" s="28">
        <f t="shared" si="0"/>
        <v>134.73961478836364</v>
      </c>
    </row>
    <row r="52" spans="1:4" ht="15" customHeight="1" x14ac:dyDescent="0.25">
      <c r="A52" s="45" t="s">
        <v>767</v>
      </c>
      <c r="B52" s="46" t="s">
        <v>768</v>
      </c>
      <c r="C52" s="136">
        <v>1.4999999999999999E-2</v>
      </c>
      <c r="D52" s="28">
        <f t="shared" si="0"/>
        <v>33.68490369709091</v>
      </c>
    </row>
    <row r="53" spans="1:4" ht="15" customHeight="1" x14ac:dyDescent="0.25">
      <c r="A53" s="45" t="s">
        <v>769</v>
      </c>
      <c r="B53" s="46" t="s">
        <v>770</v>
      </c>
      <c r="C53" s="136">
        <v>0.01</v>
      </c>
      <c r="D53" s="28">
        <f t="shared" si="0"/>
        <v>22.456602464727276</v>
      </c>
    </row>
    <row r="54" spans="1:4" ht="15" customHeight="1" x14ac:dyDescent="0.25">
      <c r="A54" s="45" t="s">
        <v>771</v>
      </c>
      <c r="B54" s="46" t="s">
        <v>772</v>
      </c>
      <c r="C54" s="136">
        <v>6.0000000000000001E-3</v>
      </c>
      <c r="D54" s="28">
        <f t="shared" si="0"/>
        <v>13.473961478836365</v>
      </c>
    </row>
    <row r="55" spans="1:4" ht="15" customHeight="1" x14ac:dyDescent="0.25">
      <c r="A55" s="45" t="s">
        <v>773</v>
      </c>
      <c r="B55" s="46" t="s">
        <v>774</v>
      </c>
      <c r="C55" s="136">
        <v>2E-3</v>
      </c>
      <c r="D55" s="28">
        <f t="shared" si="0"/>
        <v>4.4913204929454551</v>
      </c>
    </row>
    <row r="56" spans="1:4" ht="15" customHeight="1" x14ac:dyDescent="0.25">
      <c r="A56" s="45" t="s">
        <v>775</v>
      </c>
      <c r="B56" s="46" t="s">
        <v>776</v>
      </c>
      <c r="C56" s="136">
        <v>0.08</v>
      </c>
      <c r="D56" s="28">
        <f t="shared" si="0"/>
        <v>179.6528197178182</v>
      </c>
    </row>
    <row r="57" spans="1:4" ht="15" customHeight="1" x14ac:dyDescent="0.25">
      <c r="A57" s="45" t="s">
        <v>777</v>
      </c>
      <c r="B57" s="46" t="s">
        <v>778</v>
      </c>
      <c r="C57" s="136"/>
      <c r="D57" s="28">
        <f t="shared" si="0"/>
        <v>0</v>
      </c>
    </row>
    <row r="58" spans="1:4" ht="15.75" customHeight="1" x14ac:dyDescent="0.25">
      <c r="A58" s="585" t="s">
        <v>752</v>
      </c>
      <c r="B58" s="412"/>
      <c r="C58" s="137">
        <f>SUM(C49:C50,C51:C57)</f>
        <v>0.39800000000000008</v>
      </c>
      <c r="D58" s="138">
        <f>SUM(D49:D57)</f>
        <v>893.77277809614566</v>
      </c>
    </row>
    <row r="59" spans="1:4" ht="20.25" customHeight="1" x14ac:dyDescent="0.25">
      <c r="A59" s="583" t="s">
        <v>779</v>
      </c>
      <c r="B59" s="586"/>
      <c r="C59" s="141"/>
      <c r="D59" s="41"/>
    </row>
    <row r="60" spans="1:4" ht="8.1" customHeight="1" x14ac:dyDescent="0.25">
      <c r="A60" s="125"/>
      <c r="B60" s="33"/>
      <c r="C60" s="140"/>
      <c r="D60" s="127"/>
    </row>
    <row r="61" spans="1:4" ht="15.75" customHeight="1" x14ac:dyDescent="0.25">
      <c r="A61" s="581" t="s">
        <v>780</v>
      </c>
      <c r="B61" s="572"/>
      <c r="C61" s="182"/>
      <c r="D61" s="183" t="s">
        <v>734</v>
      </c>
    </row>
    <row r="62" spans="1:4" ht="15.75" customHeight="1" x14ac:dyDescent="0.25">
      <c r="A62" s="45" t="s">
        <v>781</v>
      </c>
      <c r="B62" s="46" t="s">
        <v>782</v>
      </c>
      <c r="C62" s="145"/>
      <c r="D62" s="138">
        <f>((C63*C64*C65)-D66)*C67</f>
        <v>167.97218181818181</v>
      </c>
    </row>
    <row r="63" spans="1:4" ht="15.75" customHeight="1" x14ac:dyDescent="0.25">
      <c r="A63" s="45" t="s">
        <v>783</v>
      </c>
      <c r="B63" s="46" t="s">
        <v>784</v>
      </c>
      <c r="C63" s="146">
        <f>'DADOS CCT'!D31</f>
        <v>6</v>
      </c>
      <c r="D63" s="28">
        <v>0</v>
      </c>
    </row>
    <row r="64" spans="1:4" ht="15.75" customHeight="1" x14ac:dyDescent="0.25">
      <c r="A64" s="45" t="s">
        <v>785</v>
      </c>
      <c r="B64" s="46" t="s">
        <v>786</v>
      </c>
      <c r="C64" s="28">
        <v>2</v>
      </c>
      <c r="D64" s="28">
        <v>0</v>
      </c>
    </row>
    <row r="65" spans="1:4" ht="15.75" customHeight="1" x14ac:dyDescent="0.25">
      <c r="A65" s="45" t="s">
        <v>787</v>
      </c>
      <c r="B65" s="46" t="s">
        <v>788</v>
      </c>
      <c r="C65" s="147">
        <f>C$18</f>
        <v>21</v>
      </c>
      <c r="D65" s="28">
        <v>0</v>
      </c>
    </row>
    <row r="66" spans="1:4" ht="15.75" customHeight="1" x14ac:dyDescent="0.25">
      <c r="A66" s="45" t="s">
        <v>789</v>
      </c>
      <c r="B66" s="46" t="s">
        <v>790</v>
      </c>
      <c r="C66" s="136">
        <v>0.06</v>
      </c>
      <c r="D66" s="28">
        <f>C66*D$28</f>
        <v>84.027818181818176</v>
      </c>
    </row>
    <row r="67" spans="1:4" ht="15.75" customHeight="1" x14ac:dyDescent="0.25">
      <c r="A67" s="45" t="s">
        <v>791</v>
      </c>
      <c r="B67" s="46" t="s">
        <v>792</v>
      </c>
      <c r="C67" s="144">
        <f>'DADOS CCT'!D32</f>
        <v>1</v>
      </c>
      <c r="D67" s="28">
        <v>0</v>
      </c>
    </row>
    <row r="68" spans="1:4" ht="15.75" customHeight="1" x14ac:dyDescent="0.25">
      <c r="A68" s="45" t="s">
        <v>793</v>
      </c>
      <c r="B68" s="46" t="s">
        <v>794</v>
      </c>
      <c r="C68" s="136"/>
      <c r="D68" s="138">
        <f>(C69*C70)-D71</f>
        <v>402.79679999999996</v>
      </c>
    </row>
    <row r="69" spans="1:4" ht="15.75" customHeight="1" x14ac:dyDescent="0.25">
      <c r="A69" s="45" t="s">
        <v>795</v>
      </c>
      <c r="B69" s="46" t="s">
        <v>796</v>
      </c>
      <c r="C69" s="146">
        <f>'DADOS CCT'!D33</f>
        <v>23.68</v>
      </c>
      <c r="D69" s="28">
        <v>0</v>
      </c>
    </row>
    <row r="70" spans="1:4" ht="15.75" customHeight="1" x14ac:dyDescent="0.25">
      <c r="A70" s="45" t="s">
        <v>797</v>
      </c>
      <c r="B70" s="46" t="s">
        <v>798</v>
      </c>
      <c r="C70" s="147">
        <f>C$18</f>
        <v>21</v>
      </c>
      <c r="D70" s="28">
        <v>0</v>
      </c>
    </row>
    <row r="71" spans="1:4" ht="15.75" customHeight="1" x14ac:dyDescent="0.25">
      <c r="A71" s="45" t="s">
        <v>799</v>
      </c>
      <c r="B71" s="46" t="s">
        <v>800</v>
      </c>
      <c r="C71" s="144">
        <f>'DADOS CCT'!D35</f>
        <v>0.19</v>
      </c>
      <c r="D71" s="28">
        <f>(C69*C70)*C71</f>
        <v>94.483199999999997</v>
      </c>
    </row>
    <row r="72" spans="1:4" ht="15.75" customHeight="1" x14ac:dyDescent="0.25">
      <c r="A72" s="45" t="s">
        <v>801</v>
      </c>
      <c r="B72" s="46" t="s">
        <v>802</v>
      </c>
      <c r="C72" s="136"/>
      <c r="D72" s="208">
        <f>'DADOS CCT'!D$36</f>
        <v>19.420000000000002</v>
      </c>
    </row>
    <row r="73" spans="1:4" ht="15.75" customHeight="1" x14ac:dyDescent="0.25">
      <c r="A73" s="45" t="s">
        <v>803</v>
      </c>
      <c r="B73" s="46" t="s">
        <v>804</v>
      </c>
      <c r="C73" s="136"/>
      <c r="D73" s="28">
        <v>0</v>
      </c>
    </row>
    <row r="74" spans="1:4" ht="15.75" customHeight="1" x14ac:dyDescent="0.25">
      <c r="A74" s="45" t="s">
        <v>805</v>
      </c>
      <c r="B74" s="46" t="s">
        <v>778</v>
      </c>
      <c r="C74" s="136"/>
      <c r="D74" s="28">
        <v>0</v>
      </c>
    </row>
    <row r="75" spans="1:4" ht="15.75" customHeight="1" x14ac:dyDescent="0.25">
      <c r="A75" s="582" t="s">
        <v>752</v>
      </c>
      <c r="B75" s="572"/>
      <c r="C75" s="184"/>
      <c r="D75" s="185">
        <f>SUM(D62,D68,D72:D74)</f>
        <v>590.18898181818179</v>
      </c>
    </row>
    <row r="76" spans="1:4" ht="38.25" customHeight="1" x14ac:dyDescent="0.25">
      <c r="A76" s="583" t="s">
        <v>1102</v>
      </c>
      <c r="B76" s="586"/>
      <c r="C76" s="40"/>
      <c r="D76" s="41"/>
    </row>
    <row r="77" spans="1:4" ht="8.1" customHeight="1" x14ac:dyDescent="0.25">
      <c r="A77" s="125"/>
      <c r="B77" s="33"/>
      <c r="C77" s="140"/>
      <c r="D77" s="127"/>
    </row>
    <row r="78" spans="1:4" ht="15.75" customHeight="1" x14ac:dyDescent="0.25">
      <c r="A78" s="581" t="s">
        <v>806</v>
      </c>
      <c r="B78" s="572"/>
      <c r="C78" s="182"/>
      <c r="D78" s="183" t="s">
        <v>734</v>
      </c>
    </row>
    <row r="79" spans="1:4" ht="15.75" customHeight="1" x14ac:dyDescent="0.25">
      <c r="A79" s="45" t="s">
        <v>807</v>
      </c>
      <c r="B79" s="46" t="s">
        <v>808</v>
      </c>
      <c r="C79" s="136"/>
      <c r="D79" s="28">
        <f>D45</f>
        <v>228.99261010909092</v>
      </c>
    </row>
    <row r="80" spans="1:4" ht="15.75" customHeight="1" x14ac:dyDescent="0.25">
      <c r="A80" s="45" t="s">
        <v>809</v>
      </c>
      <c r="B80" s="46" t="s">
        <v>810</v>
      </c>
      <c r="C80" s="28"/>
      <c r="D80" s="28">
        <f>D58</f>
        <v>893.77277809614566</v>
      </c>
    </row>
    <row r="81" spans="1:4" ht="15.75" customHeight="1" x14ac:dyDescent="0.25">
      <c r="A81" s="45" t="s">
        <v>811</v>
      </c>
      <c r="B81" s="46" t="s">
        <v>812</v>
      </c>
      <c r="C81" s="28"/>
      <c r="D81" s="28">
        <f>D75</f>
        <v>590.18898181818179</v>
      </c>
    </row>
    <row r="82" spans="1:4" ht="15.75" customHeight="1" thickBot="1" x14ac:dyDescent="0.3">
      <c r="A82" s="589" t="s">
        <v>752</v>
      </c>
      <c r="B82" s="590"/>
      <c r="C82" s="180"/>
      <c r="D82" s="181">
        <f>SUM(D79:D81)</f>
        <v>1712.9543700234185</v>
      </c>
    </row>
    <row r="83" spans="1:4" ht="8.1" customHeight="1" x14ac:dyDescent="0.25">
      <c r="A83" s="148"/>
      <c r="B83" s="149"/>
      <c r="C83" s="40"/>
      <c r="D83" s="41"/>
    </row>
    <row r="84" spans="1:4" ht="8.1" customHeight="1" thickBot="1" x14ac:dyDescent="0.3">
      <c r="A84" s="4"/>
      <c r="B84" s="1"/>
      <c r="C84" s="22"/>
      <c r="D84" s="6"/>
    </row>
    <row r="85" spans="1:4" ht="18" customHeight="1" x14ac:dyDescent="0.25">
      <c r="A85" s="591" t="s">
        <v>813</v>
      </c>
      <c r="B85" s="592"/>
      <c r="C85" s="12"/>
      <c r="D85" s="150" t="s">
        <v>734</v>
      </c>
    </row>
    <row r="86" spans="1:4" ht="15.75" customHeight="1" x14ac:dyDescent="0.25">
      <c r="A86" s="209" t="s">
        <v>814</v>
      </c>
      <c r="B86" s="210" t="s">
        <v>815</v>
      </c>
      <c r="C86" s="211">
        <v>0.05</v>
      </c>
      <c r="D86" s="212">
        <f>(D$33/$C$11)*C86*C89</f>
        <v>8.4027818181818201</v>
      </c>
    </row>
    <row r="87" spans="1:4" ht="15.75" customHeight="1" x14ac:dyDescent="0.25">
      <c r="A87" s="209" t="s">
        <v>816</v>
      </c>
      <c r="B87" s="210" t="s">
        <v>817</v>
      </c>
      <c r="C87" s="211">
        <f>C56</f>
        <v>0.08</v>
      </c>
      <c r="D87" s="212">
        <f>D86*C87</f>
        <v>0.67222254545454563</v>
      </c>
    </row>
    <row r="88" spans="1:4" ht="15.75" customHeight="1" x14ac:dyDescent="0.25">
      <c r="A88" s="209" t="s">
        <v>818</v>
      </c>
      <c r="B88" s="210" t="s">
        <v>819</v>
      </c>
      <c r="C88" s="211">
        <v>0.04</v>
      </c>
      <c r="D88" s="212">
        <f>D$33*C88</f>
        <v>80.666705454545465</v>
      </c>
    </row>
    <row r="89" spans="1:4" ht="15.75" customHeight="1" x14ac:dyDescent="0.25">
      <c r="A89" s="213" t="s">
        <v>820</v>
      </c>
      <c r="B89" s="214" t="s">
        <v>821</v>
      </c>
      <c r="C89" s="215">
        <v>1</v>
      </c>
      <c r="D89" s="216">
        <v>0</v>
      </c>
    </row>
    <row r="90" spans="1:4" ht="15.75" customHeight="1" x14ac:dyDescent="0.25">
      <c r="A90" s="18" t="s">
        <v>822</v>
      </c>
      <c r="B90" s="13" t="s">
        <v>823</v>
      </c>
      <c r="C90" s="15">
        <v>0.9</v>
      </c>
      <c r="D90" s="14">
        <f>(((D$33/30)*7)/12)*C90*C93</f>
        <v>35.291683636363636</v>
      </c>
    </row>
    <row r="91" spans="1:4" ht="15.75" customHeight="1" x14ac:dyDescent="0.25">
      <c r="A91" s="18" t="s">
        <v>820</v>
      </c>
      <c r="B91" s="13" t="s">
        <v>824</v>
      </c>
      <c r="C91" s="15">
        <f>C58</f>
        <v>0.39800000000000008</v>
      </c>
      <c r="D91" s="14">
        <f>D90*C91</f>
        <v>14.046090087272731</v>
      </c>
    </row>
    <row r="92" spans="1:4" ht="15.75" customHeight="1" x14ac:dyDescent="0.25">
      <c r="A92" s="18" t="s">
        <v>822</v>
      </c>
      <c r="B92" s="13" t="s">
        <v>825</v>
      </c>
      <c r="C92" s="17">
        <v>3.8080000000000003E-2</v>
      </c>
      <c r="D92" s="14">
        <f>D$33*C92</f>
        <v>76.794703592727288</v>
      </c>
    </row>
    <row r="93" spans="1:4" ht="15.75" customHeight="1" x14ac:dyDescent="0.25">
      <c r="A93" s="66" t="s">
        <v>826</v>
      </c>
      <c r="B93" s="34" t="s">
        <v>827</v>
      </c>
      <c r="C93" s="67">
        <v>1</v>
      </c>
      <c r="D93" s="35">
        <v>0</v>
      </c>
    </row>
    <row r="94" spans="1:4" ht="15.75" customHeight="1" thickBot="1" x14ac:dyDescent="0.3">
      <c r="A94" s="593" t="s">
        <v>752</v>
      </c>
      <c r="B94" s="594"/>
      <c r="C94" s="172"/>
      <c r="D94" s="173">
        <f>SUM(D86:D88,D90:D92)</f>
        <v>215.87418713454548</v>
      </c>
    </row>
    <row r="95" spans="1:4" ht="51" customHeight="1" x14ac:dyDescent="0.25">
      <c r="A95" s="577" t="s">
        <v>828</v>
      </c>
      <c r="B95" s="578"/>
      <c r="C95" s="3"/>
      <c r="D95" s="41"/>
    </row>
    <row r="96" spans="1:4" ht="15.95" customHeight="1" thickBot="1" x14ac:dyDescent="0.3">
      <c r="A96" s="4"/>
      <c r="B96" s="1"/>
      <c r="C96" s="22"/>
      <c r="D96" s="6"/>
    </row>
    <row r="97" spans="1:4" ht="18" customHeight="1" x14ac:dyDescent="0.25">
      <c r="A97" s="591" t="s">
        <v>829</v>
      </c>
      <c r="B97" s="592"/>
      <c r="C97" s="12"/>
      <c r="D97" s="150" t="s">
        <v>734</v>
      </c>
    </row>
    <row r="98" spans="1:4" ht="8.1" customHeight="1" x14ac:dyDescent="0.25">
      <c r="A98" s="7"/>
      <c r="C98" s="8"/>
      <c r="D98" s="127"/>
    </row>
    <row r="99" spans="1:4" ht="15.75" customHeight="1" x14ac:dyDescent="0.25">
      <c r="A99" s="587" t="s">
        <v>830</v>
      </c>
      <c r="B99" s="588"/>
      <c r="C99" s="151"/>
      <c r="D99" s="152">
        <f>SUM(D33,D45,D102)</f>
        <v>2428.6728344727276</v>
      </c>
    </row>
    <row r="100" spans="1:4" ht="8.1" customHeight="1" x14ac:dyDescent="0.25">
      <c r="A100" s="7"/>
      <c r="C100" s="8"/>
      <c r="D100" s="127"/>
    </row>
    <row r="101" spans="1:4" ht="15.75" customHeight="1" x14ac:dyDescent="0.25">
      <c r="A101" s="587" t="s">
        <v>831</v>
      </c>
      <c r="B101" s="588"/>
      <c r="C101" s="151"/>
      <c r="D101" s="152" t="s">
        <v>734</v>
      </c>
    </row>
    <row r="102" spans="1:4" ht="15.75" customHeight="1" x14ac:dyDescent="0.25">
      <c r="A102" s="18" t="s">
        <v>832</v>
      </c>
      <c r="B102" s="13" t="s">
        <v>833</v>
      </c>
      <c r="C102" s="17">
        <v>9.0749999999999997E-2</v>
      </c>
      <c r="D102" s="14">
        <f>D$33*C102</f>
        <v>183.01258800000002</v>
      </c>
    </row>
    <row r="103" spans="1:4" ht="15.75" customHeight="1" x14ac:dyDescent="0.25">
      <c r="A103" s="18" t="s">
        <v>834</v>
      </c>
      <c r="B103" s="13" t="s">
        <v>835</v>
      </c>
      <c r="C103" s="14">
        <v>1</v>
      </c>
      <c r="D103" s="14">
        <f>((D99/30)*C103)/12</f>
        <v>6.7463134290909101</v>
      </c>
    </row>
    <row r="104" spans="1:4" ht="15.75" customHeight="1" x14ac:dyDescent="0.25">
      <c r="A104" s="18" t="s">
        <v>836</v>
      </c>
      <c r="B104" s="13" t="s">
        <v>837</v>
      </c>
      <c r="C104" s="15">
        <v>1.4999999999999999E-2</v>
      </c>
      <c r="D104" s="14">
        <f>((D99/30)*5/12)*C104</f>
        <v>0.50597350718181822</v>
      </c>
    </row>
    <row r="105" spans="1:4" ht="15.75" customHeight="1" x14ac:dyDescent="0.25">
      <c r="A105" s="18" t="s">
        <v>838</v>
      </c>
      <c r="B105" s="13" t="s">
        <v>839</v>
      </c>
      <c r="C105" s="15">
        <v>7.7999999999999996E-3</v>
      </c>
      <c r="D105" s="14">
        <f>((D99/30)*15/12)*C105</f>
        <v>0.78931867120363641</v>
      </c>
    </row>
    <row r="106" spans="1:4" ht="15.75" customHeight="1" x14ac:dyDescent="0.25">
      <c r="A106" s="18" t="s">
        <v>840</v>
      </c>
      <c r="B106" s="13" t="s">
        <v>841</v>
      </c>
      <c r="C106" s="15">
        <v>0.02</v>
      </c>
      <c r="D106" s="14">
        <f>(((D33+(D33/3))/12)*(4/12))*C106</f>
        <v>1.4938278787878789</v>
      </c>
    </row>
    <row r="107" spans="1:4" ht="15.75" customHeight="1" x14ac:dyDescent="0.25">
      <c r="A107" s="18" t="s">
        <v>842</v>
      </c>
      <c r="B107" s="13" t="s">
        <v>843</v>
      </c>
      <c r="C107" s="14">
        <v>3</v>
      </c>
      <c r="D107" s="14">
        <f>((D99/30)*C107)/12</f>
        <v>20.23894028727273</v>
      </c>
    </row>
    <row r="108" spans="1:4" ht="15.75" customHeight="1" x14ac:dyDescent="0.25">
      <c r="A108" s="18" t="s">
        <v>844</v>
      </c>
      <c r="B108" s="13" t="s">
        <v>845</v>
      </c>
      <c r="C108" s="14"/>
      <c r="D108" s="14">
        <f>((D99/30)*C108)/12</f>
        <v>0</v>
      </c>
    </row>
    <row r="109" spans="1:4" ht="15.75" customHeight="1" x14ac:dyDescent="0.25">
      <c r="A109" s="595" t="s">
        <v>752</v>
      </c>
      <c r="B109" s="588"/>
      <c r="C109" s="175"/>
      <c r="D109" s="44">
        <f>SUM(D102:D107)</f>
        <v>212.78696177353697</v>
      </c>
    </row>
    <row r="110" spans="1:4" ht="15.75" customHeight="1" x14ac:dyDescent="0.25">
      <c r="A110" s="18" t="s">
        <v>846</v>
      </c>
      <c r="B110" s="13" t="s">
        <v>847</v>
      </c>
      <c r="C110" s="15">
        <f>C58</f>
        <v>0.39800000000000008</v>
      </c>
      <c r="D110" s="14">
        <f>D109*C110</f>
        <v>84.689210785867729</v>
      </c>
    </row>
    <row r="111" spans="1:4" ht="15.75" customHeight="1" x14ac:dyDescent="0.25">
      <c r="A111" s="596" t="s">
        <v>752</v>
      </c>
      <c r="B111" s="588"/>
      <c r="C111" s="179"/>
      <c r="D111" s="178">
        <f>SUM(D109:D110)</f>
        <v>297.47617255940469</v>
      </c>
    </row>
    <row r="112" spans="1:4" ht="61.5" customHeight="1" x14ac:dyDescent="0.25">
      <c r="A112" s="577" t="s">
        <v>848</v>
      </c>
      <c r="B112" s="578"/>
      <c r="C112" s="3"/>
      <c r="D112" s="41"/>
    </row>
    <row r="113" spans="1:4" ht="8.1" customHeight="1" x14ac:dyDescent="0.25">
      <c r="A113" s="125"/>
      <c r="B113" s="42"/>
      <c r="C113" s="140"/>
      <c r="D113" s="127"/>
    </row>
    <row r="114" spans="1:4" ht="15.75" customHeight="1" x14ac:dyDescent="0.25">
      <c r="A114" s="587" t="s">
        <v>849</v>
      </c>
      <c r="B114" s="588"/>
      <c r="C114" s="151"/>
      <c r="D114" s="152" t="s">
        <v>734</v>
      </c>
    </row>
    <row r="115" spans="1:4" ht="15.75" customHeight="1" x14ac:dyDescent="0.25">
      <c r="A115" s="18" t="s">
        <v>850</v>
      </c>
      <c r="B115" s="13" t="s">
        <v>851</v>
      </c>
      <c r="C115" s="14">
        <v>0</v>
      </c>
      <c r="D115" s="14">
        <f>((D$37+D$82)/C$28)*C115*C$18</f>
        <v>0</v>
      </c>
    </row>
    <row r="116" spans="1:4" ht="15.75" customHeight="1" x14ac:dyDescent="0.25">
      <c r="A116" s="18" t="s">
        <v>852</v>
      </c>
      <c r="B116" s="13" t="s">
        <v>853</v>
      </c>
      <c r="C116" s="15">
        <f>C58</f>
        <v>0.39800000000000008</v>
      </c>
      <c r="D116" s="14">
        <f>D115*C116</f>
        <v>0</v>
      </c>
    </row>
    <row r="117" spans="1:4" ht="15.75" customHeight="1" x14ac:dyDescent="0.25">
      <c r="A117" s="596" t="s">
        <v>752</v>
      </c>
      <c r="B117" s="588"/>
      <c r="C117" s="177"/>
      <c r="D117" s="178">
        <f>SUM(D115:D116)</f>
        <v>0</v>
      </c>
    </row>
    <row r="118" spans="1:4" ht="8.1" customHeight="1" x14ac:dyDescent="0.25">
      <c r="A118" s="577"/>
      <c r="B118" s="578"/>
      <c r="C118" s="3"/>
      <c r="D118" s="41"/>
    </row>
    <row r="119" spans="1:4" ht="8.1" customHeight="1" x14ac:dyDescent="0.25">
      <c r="A119" s="7"/>
      <c r="C119" s="20"/>
      <c r="D119" s="127"/>
    </row>
    <row r="120" spans="1:4" ht="15.75" customHeight="1" x14ac:dyDescent="0.25">
      <c r="A120" s="587" t="s">
        <v>854</v>
      </c>
      <c r="B120" s="588"/>
      <c r="C120" s="151"/>
      <c r="D120" s="152" t="s">
        <v>734</v>
      </c>
    </row>
    <row r="121" spans="1:4" ht="15.75" customHeight="1" x14ac:dyDescent="0.25">
      <c r="A121" s="18" t="s">
        <v>855</v>
      </c>
      <c r="B121" s="13" t="s">
        <v>856</v>
      </c>
      <c r="C121" s="15"/>
      <c r="D121" s="14">
        <f>D111</f>
        <v>297.47617255940469</v>
      </c>
    </row>
    <row r="122" spans="1:4" ht="15.75" customHeight="1" x14ac:dyDescent="0.25">
      <c r="A122" s="18" t="s">
        <v>857</v>
      </c>
      <c r="B122" s="13" t="s">
        <v>858</v>
      </c>
      <c r="C122" s="14"/>
      <c r="D122" s="14">
        <f>D117</f>
        <v>0</v>
      </c>
    </row>
    <row r="123" spans="1:4" ht="15.75" customHeight="1" thickBot="1" x14ac:dyDescent="0.3">
      <c r="A123" s="593" t="s">
        <v>752</v>
      </c>
      <c r="B123" s="594"/>
      <c r="C123" s="172"/>
      <c r="D123" s="173">
        <f>SUM(D121:D122)</f>
        <v>297.47617255940469</v>
      </c>
    </row>
    <row r="124" spans="1:4" ht="8.1" customHeight="1" x14ac:dyDescent="0.25">
      <c r="A124" s="153"/>
      <c r="B124" s="154"/>
      <c r="C124" s="155"/>
      <c r="D124" s="156"/>
    </row>
    <row r="125" spans="1:4" ht="8.1" customHeight="1" thickBot="1" x14ac:dyDescent="0.3">
      <c r="A125" s="125"/>
      <c r="B125" s="42"/>
      <c r="C125" s="140"/>
      <c r="D125" s="127"/>
    </row>
    <row r="126" spans="1:4" ht="18" customHeight="1" x14ac:dyDescent="0.25">
      <c r="A126" s="591" t="s">
        <v>859</v>
      </c>
      <c r="B126" s="592"/>
      <c r="C126" s="12"/>
      <c r="D126" s="150" t="s">
        <v>734</v>
      </c>
    </row>
    <row r="127" spans="1:4" ht="15.75" customHeight="1" x14ac:dyDescent="0.25">
      <c r="A127" s="174" t="s">
        <v>860</v>
      </c>
      <c r="B127" s="175" t="s">
        <v>861</v>
      </c>
      <c r="C127" s="176"/>
      <c r="D127" s="44">
        <f>tbUNIFORMESL[[#Totals],[VL. MENSAL]]</f>
        <v>167.72833333333332</v>
      </c>
    </row>
    <row r="128" spans="1:4" ht="15.75" customHeight="1" x14ac:dyDescent="0.25">
      <c r="A128" s="174" t="s">
        <v>862</v>
      </c>
      <c r="B128" s="175" t="s">
        <v>863</v>
      </c>
      <c r="C128" s="176"/>
      <c r="D128" s="44">
        <v>0</v>
      </c>
    </row>
    <row r="129" spans="1:4" ht="15.75" customHeight="1" x14ac:dyDescent="0.25">
      <c r="A129" s="174" t="s">
        <v>864</v>
      </c>
      <c r="B129" s="175" t="s">
        <v>865</v>
      </c>
      <c r="C129" s="176"/>
      <c r="D129" s="44">
        <v>0</v>
      </c>
    </row>
    <row r="130" spans="1:4" ht="15.75" customHeight="1" x14ac:dyDescent="0.25">
      <c r="A130" s="174" t="s">
        <v>866</v>
      </c>
      <c r="B130" s="175" t="s">
        <v>867</v>
      </c>
      <c r="C130" s="176"/>
      <c r="D130" s="44">
        <v>0</v>
      </c>
    </row>
    <row r="131" spans="1:4" ht="15.75" customHeight="1" thickBot="1" x14ac:dyDescent="0.3">
      <c r="A131" s="593" t="s">
        <v>752</v>
      </c>
      <c r="B131" s="594"/>
      <c r="C131" s="172"/>
      <c r="D131" s="173">
        <f>SUM(D127:D130)</f>
        <v>167.72833333333332</v>
      </c>
    </row>
    <row r="132" spans="1:4" ht="15.95" customHeight="1" thickBot="1" x14ac:dyDescent="0.3">
      <c r="A132" s="4"/>
      <c r="B132" s="1"/>
      <c r="C132" s="22"/>
      <c r="D132" s="6"/>
    </row>
    <row r="133" spans="1:4" ht="18" customHeight="1" x14ac:dyDescent="0.25">
      <c r="A133" s="591" t="s">
        <v>868</v>
      </c>
      <c r="B133" s="592"/>
      <c r="C133" s="12"/>
      <c r="D133" s="150" t="s">
        <v>734</v>
      </c>
    </row>
    <row r="134" spans="1:4" ht="8.1" customHeight="1" x14ac:dyDescent="0.25">
      <c r="A134" s="7"/>
      <c r="C134" s="8"/>
      <c r="D134" s="127"/>
    </row>
    <row r="135" spans="1:4" ht="15.75" customHeight="1" x14ac:dyDescent="0.25">
      <c r="A135" s="587" t="s">
        <v>869</v>
      </c>
      <c r="B135" s="588"/>
      <c r="C135" s="151"/>
      <c r="D135" s="152">
        <f>SUM(D37,D82,D94,D123,D131)</f>
        <v>4410.7006994143385</v>
      </c>
    </row>
    <row r="136" spans="1:4" ht="8.1" customHeight="1" x14ac:dyDescent="0.25">
      <c r="A136" s="7"/>
      <c r="C136" s="8"/>
      <c r="D136" s="127"/>
    </row>
    <row r="137" spans="1:4" ht="15.75" customHeight="1" x14ac:dyDescent="0.25">
      <c r="A137" s="66" t="s">
        <v>870</v>
      </c>
      <c r="B137" s="34" t="s">
        <v>871</v>
      </c>
      <c r="C137" s="67">
        <v>0.05</v>
      </c>
      <c r="D137" s="35">
        <f>D$135*C137</f>
        <v>220.53503497071694</v>
      </c>
    </row>
    <row r="138" spans="1:4" ht="15.75" customHeight="1" x14ac:dyDescent="0.25">
      <c r="A138" s="66" t="s">
        <v>872</v>
      </c>
      <c r="B138" s="34" t="s">
        <v>873</v>
      </c>
      <c r="C138" s="67">
        <v>0.1</v>
      </c>
      <c r="D138" s="35">
        <f>SUM(D135,D137)*C138</f>
        <v>463.12357343850556</v>
      </c>
    </row>
    <row r="139" spans="1:4" ht="8.1" customHeight="1" x14ac:dyDescent="0.25">
      <c r="A139" s="7"/>
      <c r="C139" s="8"/>
      <c r="D139" s="127"/>
    </row>
    <row r="140" spans="1:4" ht="15.75" customHeight="1" x14ac:dyDescent="0.25">
      <c r="A140" s="587" t="s">
        <v>874</v>
      </c>
      <c r="B140" s="588"/>
      <c r="C140" s="151"/>
      <c r="D140" s="152">
        <f>SUM(D135,D137:D138)</f>
        <v>5094.3593078235608</v>
      </c>
    </row>
    <row r="141" spans="1:4" ht="8.1" customHeight="1" x14ac:dyDescent="0.25">
      <c r="A141" s="7"/>
      <c r="C141" s="8"/>
      <c r="D141" s="127"/>
    </row>
    <row r="142" spans="1:4" ht="15.75" customHeight="1" x14ac:dyDescent="0.25">
      <c r="A142" s="18" t="s">
        <v>875</v>
      </c>
      <c r="B142" s="13" t="s">
        <v>876</v>
      </c>
      <c r="C142" s="19">
        <f>'DADOS CCT'!D39</f>
        <v>7.5999999999999998E-2</v>
      </c>
      <c r="D142" s="14">
        <f>(D$140/(1-C$146))*C142</f>
        <v>441.22086312773865</v>
      </c>
    </row>
    <row r="143" spans="1:4" ht="15.75" customHeight="1" x14ac:dyDescent="0.25">
      <c r="A143" s="18" t="s">
        <v>877</v>
      </c>
      <c r="B143" s="13" t="s">
        <v>878</v>
      </c>
      <c r="C143" s="19">
        <f>'DADOS CCT'!D38</f>
        <v>1.6500000000000001E-2</v>
      </c>
      <c r="D143" s="14">
        <f>(D$140/(1-C$146))*C143</f>
        <v>95.791371600101158</v>
      </c>
    </row>
    <row r="144" spans="1:4" ht="15.75" customHeight="1" x14ac:dyDescent="0.25">
      <c r="A144" s="18" t="s">
        <v>879</v>
      </c>
      <c r="B144" s="13" t="s">
        <v>880</v>
      </c>
      <c r="C144" s="15"/>
      <c r="D144" s="14">
        <f>(D$140/(1-C$146))*C144</f>
        <v>0</v>
      </c>
    </row>
    <row r="145" spans="1:4" ht="15.75" customHeight="1" x14ac:dyDescent="0.25">
      <c r="A145" s="18" t="s">
        <v>881</v>
      </c>
      <c r="B145" s="13" t="s">
        <v>882</v>
      </c>
      <c r="C145" s="19">
        <f>'DADOS CCT'!D37</f>
        <v>0.03</v>
      </c>
      <c r="D145" s="14">
        <f>(D$140/(1-C$146))*C145</f>
        <v>174.16613018200209</v>
      </c>
    </row>
    <row r="146" spans="1:4" ht="15.75" customHeight="1" thickBot="1" x14ac:dyDescent="0.3">
      <c r="A146" s="599" t="s">
        <v>752</v>
      </c>
      <c r="B146" s="600"/>
      <c r="C146" s="43">
        <f>SUM(C142:C145)</f>
        <v>0.1225</v>
      </c>
      <c r="D146" s="39">
        <f>SUM(D137:D138,D142:D145)</f>
        <v>1394.8369733190646</v>
      </c>
    </row>
    <row r="147" spans="1:4" ht="15.95" customHeight="1" thickBot="1" x14ac:dyDescent="0.3">
      <c r="A147" s="4"/>
      <c r="B147" s="1"/>
      <c r="C147" s="22"/>
      <c r="D147" s="6"/>
    </row>
    <row r="148" spans="1:4" ht="18" customHeight="1" x14ac:dyDescent="0.25">
      <c r="A148" s="601" t="s">
        <v>883</v>
      </c>
      <c r="B148" s="602"/>
      <c r="C148" s="170"/>
      <c r="D148" s="171" t="s">
        <v>734</v>
      </c>
    </row>
    <row r="149" spans="1:4" ht="15.75" customHeight="1" x14ac:dyDescent="0.25">
      <c r="A149" s="45"/>
      <c r="B149" s="46" t="s">
        <v>884</v>
      </c>
      <c r="C149" s="136"/>
      <c r="D149" s="28">
        <f>D37</f>
        <v>2016.6676363636366</v>
      </c>
    </row>
    <row r="150" spans="1:4" ht="15.75" customHeight="1" x14ac:dyDescent="0.25">
      <c r="A150" s="45"/>
      <c r="B150" s="46" t="s">
        <v>885</v>
      </c>
      <c r="C150" s="136"/>
      <c r="D150" s="28">
        <f>D82</f>
        <v>1712.9543700234185</v>
      </c>
    </row>
    <row r="151" spans="1:4" ht="15.75" customHeight="1" x14ac:dyDescent="0.25">
      <c r="A151" s="45"/>
      <c r="B151" s="46" t="s">
        <v>886</v>
      </c>
      <c r="C151" s="143"/>
      <c r="D151" s="28">
        <f>D94</f>
        <v>215.87418713454548</v>
      </c>
    </row>
    <row r="152" spans="1:4" ht="15.75" customHeight="1" x14ac:dyDescent="0.25">
      <c r="A152" s="45"/>
      <c r="B152" s="46" t="s">
        <v>887</v>
      </c>
      <c r="C152" s="136"/>
      <c r="D152" s="28">
        <f>D123</f>
        <v>297.47617255940469</v>
      </c>
    </row>
    <row r="153" spans="1:4" ht="15.75" customHeight="1" x14ac:dyDescent="0.25">
      <c r="A153" s="45"/>
      <c r="B153" s="46" t="s">
        <v>888</v>
      </c>
      <c r="C153" s="136"/>
      <c r="D153" s="28">
        <f>D131</f>
        <v>167.72833333333332</v>
      </c>
    </row>
    <row r="154" spans="1:4" ht="15.75" customHeight="1" x14ac:dyDescent="0.25">
      <c r="A154" s="585" t="s">
        <v>752</v>
      </c>
      <c r="B154" s="412"/>
      <c r="C154" s="137"/>
      <c r="D154" s="138">
        <f>SUM(D149:D153)</f>
        <v>4410.7006994143385</v>
      </c>
    </row>
    <row r="155" spans="1:4" ht="15.75" customHeight="1" x14ac:dyDescent="0.25">
      <c r="A155" s="45"/>
      <c r="B155" s="46" t="s">
        <v>889</v>
      </c>
      <c r="C155" s="143"/>
      <c r="D155" s="28">
        <f>D146</f>
        <v>1394.8369733190646</v>
      </c>
    </row>
    <row r="156" spans="1:4" ht="15.75" customHeight="1" thickBot="1" x14ac:dyDescent="0.35">
      <c r="A156" s="603" t="s">
        <v>890</v>
      </c>
      <c r="B156" s="604"/>
      <c r="C156" s="168"/>
      <c r="D156" s="169">
        <f>TRUNC(SUM(D154:D155),2)</f>
        <v>5805.53</v>
      </c>
    </row>
    <row r="157" spans="1:4" ht="8.1" customHeight="1" thickBot="1" x14ac:dyDescent="0.3">
      <c r="A157" s="9"/>
      <c r="B157" s="10"/>
      <c r="C157" s="21"/>
      <c r="D157" s="11"/>
    </row>
    <row r="158" spans="1:4" ht="15.75" customHeight="1" thickBot="1" x14ac:dyDescent="0.3">
      <c r="A158" s="605" t="s">
        <v>891</v>
      </c>
      <c r="B158" s="470"/>
      <c r="C158" s="166"/>
      <c r="D158" s="167">
        <v>1</v>
      </c>
    </row>
    <row r="159" spans="1:4" ht="8.1" customHeight="1" thickBot="1" x14ac:dyDescent="0.3">
      <c r="A159" s="9"/>
      <c r="B159" s="10"/>
      <c r="C159" s="21"/>
      <c r="D159" s="11"/>
    </row>
    <row r="160" spans="1:4" ht="15.75" customHeight="1" thickBot="1" x14ac:dyDescent="0.35">
      <c r="A160" s="597" t="s">
        <v>892</v>
      </c>
      <c r="B160" s="598"/>
      <c r="C160" s="164"/>
      <c r="D160" s="165">
        <f>TRUNC(D156*D158,2)</f>
        <v>5805.53</v>
      </c>
    </row>
    <row r="161" spans="1:4" ht="15.95" customHeight="1" thickBot="1" x14ac:dyDescent="0.3"/>
    <row r="162" spans="1:4" ht="15.75" customHeight="1" thickBot="1" x14ac:dyDescent="0.35">
      <c r="A162" s="561" t="s">
        <v>893</v>
      </c>
      <c r="B162" s="562"/>
      <c r="C162" s="162"/>
      <c r="D162" s="163">
        <f>D156/D37</f>
        <v>2.8787738223777257</v>
      </c>
    </row>
    <row r="163" spans="1:4" ht="15.95" customHeight="1" thickBot="1" x14ac:dyDescent="0.3">
      <c r="A163" s="33"/>
      <c r="B163" s="33"/>
      <c r="C163" s="33"/>
    </row>
    <row r="164" spans="1:4" ht="15.75" customHeight="1" x14ac:dyDescent="0.3">
      <c r="A164" s="551" t="s">
        <v>894</v>
      </c>
      <c r="B164" s="551"/>
      <c r="C164" s="160"/>
      <c r="D164" s="161"/>
    </row>
    <row r="165" spans="1:4" ht="15" customHeight="1" thickBot="1" x14ac:dyDescent="0.3">
      <c r="A165" s="157"/>
      <c r="B165" s="157" t="s">
        <v>895</v>
      </c>
      <c r="C165" s="157"/>
      <c r="D165" s="158">
        <f>TRUNC(D156/C$18,2)</f>
        <v>276.45</v>
      </c>
    </row>
  </sheetData>
  <mergeCells count="65">
    <mergeCell ref="C15:D15"/>
    <mergeCell ref="C3:D3"/>
    <mergeCell ref="C4:D4"/>
    <mergeCell ref="C5:D5"/>
    <mergeCell ref="A7:B7"/>
    <mergeCell ref="C8:D8"/>
    <mergeCell ref="C9:D9"/>
    <mergeCell ref="C10:D10"/>
    <mergeCell ref="C11:D11"/>
    <mergeCell ref="C12:D12"/>
    <mergeCell ref="C13:D13"/>
    <mergeCell ref="C14:D14"/>
    <mergeCell ref="A33:B33"/>
    <mergeCell ref="C16:D16"/>
    <mergeCell ref="C17:D17"/>
    <mergeCell ref="C18:D18"/>
    <mergeCell ref="C19:D19"/>
    <mergeCell ref="C20:D20"/>
    <mergeCell ref="C21:D21"/>
    <mergeCell ref="C22:D22"/>
    <mergeCell ref="C23:D23"/>
    <mergeCell ref="A25:B25"/>
    <mergeCell ref="C25:D25"/>
    <mergeCell ref="A27:B27"/>
    <mergeCell ref="A76:B76"/>
    <mergeCell ref="A37:B37"/>
    <mergeCell ref="A38:B38"/>
    <mergeCell ref="A40:B40"/>
    <mergeCell ref="A42:B42"/>
    <mergeCell ref="A45:B45"/>
    <mergeCell ref="A46:B46"/>
    <mergeCell ref="A48:B48"/>
    <mergeCell ref="A58:B58"/>
    <mergeCell ref="A59:B59"/>
    <mergeCell ref="A61:B61"/>
    <mergeCell ref="A75:B75"/>
    <mergeCell ref="A114:B114"/>
    <mergeCell ref="A78:B78"/>
    <mergeCell ref="A82:B82"/>
    <mergeCell ref="A85:B85"/>
    <mergeCell ref="A94:B94"/>
    <mergeCell ref="A95:B95"/>
    <mergeCell ref="A97:B97"/>
    <mergeCell ref="A99:B99"/>
    <mergeCell ref="A101:B101"/>
    <mergeCell ref="A109:B109"/>
    <mergeCell ref="A111:B111"/>
    <mergeCell ref="A112:B112"/>
    <mergeCell ref="A154:B154"/>
    <mergeCell ref="A117:B117"/>
    <mergeCell ref="A118:B118"/>
    <mergeCell ref="A120:B120"/>
    <mergeCell ref="A123:B123"/>
    <mergeCell ref="A126:B126"/>
    <mergeCell ref="A131:B131"/>
    <mergeCell ref="A133:B133"/>
    <mergeCell ref="A135:B135"/>
    <mergeCell ref="A140:B140"/>
    <mergeCell ref="A146:B146"/>
    <mergeCell ref="A148:B148"/>
    <mergeCell ref="A156:B156"/>
    <mergeCell ref="A158:B158"/>
    <mergeCell ref="A160:B160"/>
    <mergeCell ref="A162:B162"/>
    <mergeCell ref="A164:B164"/>
  </mergeCells>
  <pageMargins left="0.70866141732283472" right="0.70866141732283472" top="0.74803149606299213" bottom="0.74803149606299213" header="0" footer="0"/>
  <pageSetup paperSize="9" scale="80" fitToHeight="0" orientation="portrait" r:id="rId1"/>
  <rowBreaks count="4" manualBreakCount="4">
    <brk id="38" max="3" man="1"/>
    <brk id="83" max="3" man="1"/>
    <brk id="90" max="16383" man="1"/>
    <brk id="124" max="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8541E-88E3-4BA1-9846-B2EAE1FE4176}">
  <sheetPr>
    <tabColor theme="6" tint="0.79998168889431442"/>
    <outlinePr summaryBelow="0"/>
    <pageSetUpPr fitToPage="1"/>
  </sheetPr>
  <dimension ref="A1:D165"/>
  <sheetViews>
    <sheetView workbookViewId="0"/>
  </sheetViews>
  <sheetFormatPr defaultColWidth="14.42578125" defaultRowHeight="15" customHeight="1" x14ac:dyDescent="0.25"/>
  <cols>
    <col min="1" max="1" width="6.7109375" customWidth="1"/>
    <col min="2" max="2" width="64.7109375" customWidth="1"/>
    <col min="3" max="3" width="18.7109375" customWidth="1"/>
    <col min="4" max="4" width="18.7109375" style="33" customWidth="1"/>
    <col min="5" max="16384" width="14.42578125" style="159"/>
  </cols>
  <sheetData>
    <row r="1" spans="1:4" ht="40.5" customHeight="1" x14ac:dyDescent="0.25">
      <c r="A1" s="38"/>
      <c r="B1" s="313" t="s">
        <v>692</v>
      </c>
      <c r="C1" s="37"/>
      <c r="D1" s="37"/>
    </row>
    <row r="2" spans="1:4" ht="15.95" customHeight="1" thickBot="1" x14ac:dyDescent="0.3">
      <c r="A2" s="125"/>
      <c r="B2" s="42"/>
      <c r="C2" s="126"/>
      <c r="D2" s="127"/>
    </row>
    <row r="3" spans="1:4" ht="15" customHeight="1" x14ac:dyDescent="0.25">
      <c r="A3" s="192"/>
      <c r="B3" s="314" t="s">
        <v>693</v>
      </c>
      <c r="C3" s="552"/>
      <c r="D3" s="552"/>
    </row>
    <row r="4" spans="1:4" ht="15" customHeight="1" x14ac:dyDescent="0.25">
      <c r="A4" s="193"/>
      <c r="B4" s="274" t="s">
        <v>694</v>
      </c>
      <c r="C4" s="553"/>
      <c r="D4" s="553"/>
    </row>
    <row r="5" spans="1:4" ht="15.75" customHeight="1" thickBot="1" x14ac:dyDescent="0.3">
      <c r="A5" s="194"/>
      <c r="B5" s="195" t="s">
        <v>695</v>
      </c>
      <c r="C5" s="554"/>
      <c r="D5" s="554"/>
    </row>
    <row r="6" spans="1:4" ht="15.95" customHeight="1" thickBot="1" x14ac:dyDescent="0.3">
      <c r="A6" s="125"/>
      <c r="B6" s="42"/>
      <c r="C6" s="126"/>
      <c r="D6" s="127"/>
    </row>
    <row r="7" spans="1:4" ht="15" customHeight="1" x14ac:dyDescent="0.25">
      <c r="A7" s="563" t="s">
        <v>696</v>
      </c>
      <c r="B7" s="564"/>
      <c r="C7" s="128"/>
      <c r="D7" s="129"/>
    </row>
    <row r="8" spans="1:4" ht="15" customHeight="1" x14ac:dyDescent="0.25">
      <c r="A8" s="45" t="s">
        <v>697</v>
      </c>
      <c r="B8" s="263" t="s">
        <v>698</v>
      </c>
      <c r="C8" s="555"/>
      <c r="D8" s="555"/>
    </row>
    <row r="9" spans="1:4" ht="15" customHeight="1" x14ac:dyDescent="0.25">
      <c r="A9" s="45" t="s">
        <v>699</v>
      </c>
      <c r="B9" s="263" t="s">
        <v>700</v>
      </c>
      <c r="C9" s="555" t="str">
        <f>'DADOS CCT'!B43</f>
        <v>FREDERICO WESTPHALEN</v>
      </c>
      <c r="D9" s="555"/>
    </row>
    <row r="10" spans="1:4" ht="15" customHeight="1" x14ac:dyDescent="0.25">
      <c r="A10" s="45" t="s">
        <v>701</v>
      </c>
      <c r="B10" s="263" t="s">
        <v>702</v>
      </c>
      <c r="C10" s="555" t="str">
        <f>'DADOS CCT'!C43&amp;" - "&amp;'DADOS CCT'!D44</f>
        <v>SINDILIMP/RS - RS000044/2024</v>
      </c>
      <c r="D10" s="555"/>
    </row>
    <row r="11" spans="1:4" ht="15" customHeight="1" x14ac:dyDescent="0.25">
      <c r="A11" s="45" t="s">
        <v>703</v>
      </c>
      <c r="B11" s="263" t="s">
        <v>704</v>
      </c>
      <c r="C11" s="556">
        <v>12</v>
      </c>
      <c r="D11" s="556"/>
    </row>
    <row r="12" spans="1:4" ht="15" customHeight="1" x14ac:dyDescent="0.25">
      <c r="A12" s="45" t="s">
        <v>705</v>
      </c>
      <c r="B12" s="263" t="s">
        <v>706</v>
      </c>
      <c r="C12" s="557">
        <f>'DADOS CCT'!D45</f>
        <v>45292</v>
      </c>
      <c r="D12" s="557"/>
    </row>
    <row r="13" spans="1:4" ht="29.25" customHeight="1" x14ac:dyDescent="0.25">
      <c r="A13" s="45" t="s">
        <v>707</v>
      </c>
      <c r="B13" s="315" t="s">
        <v>708</v>
      </c>
      <c r="C13" s="558" t="s">
        <v>709</v>
      </c>
      <c r="D13" s="558"/>
    </row>
    <row r="14" spans="1:4" x14ac:dyDescent="0.25">
      <c r="A14" s="130" t="s">
        <v>710</v>
      </c>
      <c r="B14" s="131" t="s">
        <v>711</v>
      </c>
      <c r="C14" s="559" t="s">
        <v>712</v>
      </c>
      <c r="D14" s="559"/>
    </row>
    <row r="15" spans="1:4" x14ac:dyDescent="0.25">
      <c r="A15" s="130" t="s">
        <v>713</v>
      </c>
      <c r="B15" s="131" t="s">
        <v>714</v>
      </c>
      <c r="C15" s="559" t="s">
        <v>896</v>
      </c>
      <c r="D15" s="559"/>
    </row>
    <row r="16" spans="1:4" x14ac:dyDescent="0.25">
      <c r="A16" s="130" t="s">
        <v>716</v>
      </c>
      <c r="B16" s="131" t="s">
        <v>717</v>
      </c>
      <c r="C16" s="559" t="str">
        <f ca="1">RIGHT(CELL("nome.arquivo",A1),LEN(CELL("nome.arquivo",A1))-SEARCH("]",CELL("nome.arquivo",A1)))</f>
        <v>5143-20 SRV.L 5x2 DIURNO FW</v>
      </c>
      <c r="D16" s="559"/>
    </row>
    <row r="17" spans="1:4" x14ac:dyDescent="0.25">
      <c r="A17" s="130" t="s">
        <v>718</v>
      </c>
      <c r="B17" s="131" t="s">
        <v>719</v>
      </c>
      <c r="C17" s="560" t="s">
        <v>1197</v>
      </c>
      <c r="D17" s="560"/>
    </row>
    <row r="18" spans="1:4" x14ac:dyDescent="0.25">
      <c r="A18" s="130" t="s">
        <v>721</v>
      </c>
      <c r="B18" s="131" t="s">
        <v>722</v>
      </c>
      <c r="C18" s="560">
        <v>21</v>
      </c>
      <c r="D18" s="560"/>
    </row>
    <row r="19" spans="1:4" ht="15.75" customHeight="1" x14ac:dyDescent="0.25">
      <c r="A19" s="130" t="s">
        <v>723</v>
      </c>
      <c r="B19" s="131" t="s">
        <v>724</v>
      </c>
      <c r="C19" s="560">
        <f>'DADOS CCT'!D46</f>
        <v>1540.51</v>
      </c>
      <c r="D19" s="560"/>
    </row>
    <row r="20" spans="1:4" ht="15.75" customHeight="1" x14ac:dyDescent="0.25">
      <c r="A20" s="130" t="s">
        <v>725</v>
      </c>
      <c r="B20" s="132" t="s">
        <v>726</v>
      </c>
      <c r="C20" s="573">
        <f>C19/220</f>
        <v>7.0023181818181817</v>
      </c>
      <c r="D20" s="573"/>
    </row>
    <row r="21" spans="1:4" ht="15.75" customHeight="1" x14ac:dyDescent="0.25">
      <c r="A21" s="130" t="s">
        <v>727</v>
      </c>
      <c r="B21" s="132" t="s">
        <v>728</v>
      </c>
      <c r="C21" s="573">
        <f>C20*1.5</f>
        <v>10.503477272727272</v>
      </c>
      <c r="D21" s="573"/>
    </row>
    <row r="22" spans="1:4" ht="15.75" customHeight="1" x14ac:dyDescent="0.25">
      <c r="A22" s="130" t="s">
        <v>729</v>
      </c>
      <c r="B22" s="132" t="s">
        <v>730</v>
      </c>
      <c r="C22" s="573">
        <f>C20*2</f>
        <v>14.004636363636363</v>
      </c>
      <c r="D22" s="573"/>
    </row>
    <row r="23" spans="1:4" ht="15.75" customHeight="1" thickBot="1" x14ac:dyDescent="0.3">
      <c r="A23" s="133" t="s">
        <v>731</v>
      </c>
      <c r="B23" s="134" t="s">
        <v>732</v>
      </c>
      <c r="C23" s="574">
        <f>C20*0.2</f>
        <v>1.4004636363636365</v>
      </c>
      <c r="D23" s="574"/>
    </row>
    <row r="24" spans="1:4" ht="15.95" customHeight="1" thickBot="1" x14ac:dyDescent="0.3">
      <c r="A24" s="125"/>
      <c r="B24" s="42"/>
      <c r="C24" s="126"/>
      <c r="D24" s="127"/>
    </row>
    <row r="25" spans="1:4" ht="15.75" thickBot="1" x14ac:dyDescent="0.3">
      <c r="A25" s="565"/>
      <c r="B25" s="566"/>
      <c r="C25" s="567" t="str">
        <f>'DADOS CCT'!D3</f>
        <v>00 - VALOR ESTIMADO</v>
      </c>
      <c r="D25" s="568"/>
    </row>
    <row r="26" spans="1:4" ht="6" customHeight="1" thickBot="1" x14ac:dyDescent="0.3">
      <c r="A26" s="4"/>
      <c r="B26" s="1"/>
      <c r="C26" s="5"/>
      <c r="D26" s="6"/>
    </row>
    <row r="27" spans="1:4" ht="18" customHeight="1" x14ac:dyDescent="0.25">
      <c r="A27" s="569" t="s">
        <v>733</v>
      </c>
      <c r="B27" s="570"/>
      <c r="C27" s="190"/>
      <c r="D27" s="191" t="s">
        <v>734</v>
      </c>
    </row>
    <row r="28" spans="1:4" ht="15.75" customHeight="1" x14ac:dyDescent="0.25">
      <c r="A28" s="45" t="s">
        <v>735</v>
      </c>
      <c r="B28" s="46" t="s">
        <v>736</v>
      </c>
      <c r="C28" s="135">
        <v>200</v>
      </c>
      <c r="D28" s="28">
        <f>C28*C19/220</f>
        <v>1400.4636363636364</v>
      </c>
    </row>
    <row r="29" spans="1:4" ht="15.75" customHeight="1" x14ac:dyDescent="0.25">
      <c r="A29" s="45" t="s">
        <v>737</v>
      </c>
      <c r="B29" s="46" t="s">
        <v>738</v>
      </c>
      <c r="C29" s="136"/>
      <c r="D29" s="28">
        <f>D$28*C29</f>
        <v>0</v>
      </c>
    </row>
    <row r="30" spans="1:4" ht="15.75" customHeight="1" x14ac:dyDescent="0.25">
      <c r="A30" s="45" t="s">
        <v>739</v>
      </c>
      <c r="B30" s="46" t="s">
        <v>740</v>
      </c>
      <c r="C30" s="136">
        <v>0.2</v>
      </c>
      <c r="D30" s="208">
        <f>C30*C19</f>
        <v>308.10200000000003</v>
      </c>
    </row>
    <row r="31" spans="1:4" ht="15.75" customHeight="1" x14ac:dyDescent="0.25">
      <c r="A31" s="45" t="s">
        <v>741</v>
      </c>
      <c r="B31" s="46" t="s">
        <v>742</v>
      </c>
      <c r="C31" s="28"/>
      <c r="D31" s="28">
        <f>(D28/C28)*0.2*C31*(60/52.5)</f>
        <v>0</v>
      </c>
    </row>
    <row r="32" spans="1:4" ht="15.75" customHeight="1" x14ac:dyDescent="0.25">
      <c r="A32" s="45" t="s">
        <v>743</v>
      </c>
      <c r="B32" s="46" t="s">
        <v>744</v>
      </c>
      <c r="C32" s="28"/>
      <c r="D32" s="28">
        <f>(D28/C28)*1.5*C32</f>
        <v>0</v>
      </c>
    </row>
    <row r="33" spans="1:4" ht="15.75" customHeight="1" x14ac:dyDescent="0.25">
      <c r="A33" s="571" t="s">
        <v>745</v>
      </c>
      <c r="B33" s="572"/>
      <c r="C33" s="184"/>
      <c r="D33" s="185">
        <f>SUM(D28:D32)</f>
        <v>1708.5656363636365</v>
      </c>
    </row>
    <row r="34" spans="1:4" ht="15.75" customHeight="1" x14ac:dyDescent="0.25">
      <c r="A34" s="45" t="s">
        <v>746</v>
      </c>
      <c r="B34" s="46" t="s">
        <v>747</v>
      </c>
      <c r="C34" s="28"/>
      <c r="D34" s="28">
        <f>15*C34*(D28/C28)*1.5</f>
        <v>0</v>
      </c>
    </row>
    <row r="35" spans="1:4" ht="15.75" customHeight="1" x14ac:dyDescent="0.25">
      <c r="A35" s="45" t="s">
        <v>748</v>
      </c>
      <c r="B35" s="46" t="s">
        <v>749</v>
      </c>
      <c r="C35" s="139">
        <f>'DADOS CCT'!D48</f>
        <v>0</v>
      </c>
      <c r="D35" s="28">
        <f>D28*C35</f>
        <v>0</v>
      </c>
    </row>
    <row r="36" spans="1:4" ht="15.75" customHeight="1" x14ac:dyDescent="0.25">
      <c r="A36" s="45" t="s">
        <v>750</v>
      </c>
      <c r="B36" s="46" t="s">
        <v>751</v>
      </c>
      <c r="C36" s="136"/>
      <c r="D36" s="28">
        <f>D$28*C36</f>
        <v>0</v>
      </c>
    </row>
    <row r="37" spans="1:4" ht="15.75" customHeight="1" thickBot="1" x14ac:dyDescent="0.3">
      <c r="A37" s="575" t="s">
        <v>752</v>
      </c>
      <c r="B37" s="576"/>
      <c r="C37" s="188"/>
      <c r="D37" s="189">
        <f>SUM(D33:D36)</f>
        <v>1708.5656363636365</v>
      </c>
    </row>
    <row r="38" spans="1:4" ht="24" customHeight="1" x14ac:dyDescent="0.25">
      <c r="A38" s="577" t="s">
        <v>1233</v>
      </c>
      <c r="B38" s="578"/>
      <c r="C38" s="8"/>
      <c r="D38" s="127"/>
    </row>
    <row r="39" spans="1:4" ht="8.1" customHeight="1" thickBot="1" x14ac:dyDescent="0.3">
      <c r="A39" s="7"/>
      <c r="B39" s="16"/>
      <c r="C39" s="8"/>
      <c r="D39" s="127"/>
    </row>
    <row r="40" spans="1:4" ht="18" customHeight="1" x14ac:dyDescent="0.25">
      <c r="A40" s="579" t="s">
        <v>753</v>
      </c>
      <c r="B40" s="580"/>
      <c r="C40" s="142"/>
      <c r="D40" s="187"/>
    </row>
    <row r="41" spans="1:4" ht="6" customHeight="1" x14ac:dyDescent="0.25">
      <c r="A41" s="125"/>
      <c r="B41" s="42"/>
      <c r="C41" s="126"/>
      <c r="D41" s="127"/>
    </row>
    <row r="42" spans="1:4" ht="15.75" customHeight="1" x14ac:dyDescent="0.25">
      <c r="A42" s="581" t="s">
        <v>754</v>
      </c>
      <c r="B42" s="572"/>
      <c r="C42" s="182"/>
      <c r="D42" s="183" t="s">
        <v>734</v>
      </c>
    </row>
    <row r="43" spans="1:4" ht="15" customHeight="1" x14ac:dyDescent="0.25">
      <c r="A43" s="45" t="s">
        <v>755</v>
      </c>
      <c r="B43" s="46" t="s">
        <v>756</v>
      </c>
      <c r="C43" s="136">
        <v>8.3299999999999999E-2</v>
      </c>
      <c r="D43" s="28">
        <f>D$33*C43</f>
        <v>142.32351750909092</v>
      </c>
    </row>
    <row r="44" spans="1:4" ht="15" customHeight="1" x14ac:dyDescent="0.25">
      <c r="A44" s="45" t="s">
        <v>757</v>
      </c>
      <c r="B44" s="46" t="s">
        <v>758</v>
      </c>
      <c r="C44" s="143">
        <v>3.0249999999999999E-2</v>
      </c>
      <c r="D44" s="28">
        <f>D$33*C44</f>
        <v>51.684110500000003</v>
      </c>
    </row>
    <row r="45" spans="1:4" ht="15.75" customHeight="1" x14ac:dyDescent="0.25">
      <c r="A45" s="582" t="s">
        <v>752</v>
      </c>
      <c r="B45" s="572"/>
      <c r="C45" s="186"/>
      <c r="D45" s="185">
        <f>SUM(D43:D44)</f>
        <v>194.00762800909092</v>
      </c>
    </row>
    <row r="46" spans="1:4" ht="37.5" customHeight="1" x14ac:dyDescent="0.25">
      <c r="A46" s="583" t="s">
        <v>759</v>
      </c>
      <c r="B46" s="584"/>
      <c r="C46" s="141"/>
      <c r="D46" s="41"/>
    </row>
    <row r="47" spans="1:4" ht="8.1" customHeight="1" x14ac:dyDescent="0.25">
      <c r="A47" s="125"/>
      <c r="B47" s="33"/>
      <c r="C47" s="126"/>
      <c r="D47" s="127"/>
    </row>
    <row r="48" spans="1:4" ht="15.75" customHeight="1" x14ac:dyDescent="0.25">
      <c r="A48" s="581" t="s">
        <v>760</v>
      </c>
      <c r="B48" s="572"/>
      <c r="C48" s="182"/>
      <c r="D48" s="183" t="s">
        <v>734</v>
      </c>
    </row>
    <row r="49" spans="1:4" ht="15" customHeight="1" x14ac:dyDescent="0.25">
      <c r="A49" s="45" t="s">
        <v>761</v>
      </c>
      <c r="B49" s="46" t="s">
        <v>762</v>
      </c>
      <c r="C49" s="136">
        <v>0.2</v>
      </c>
      <c r="D49" s="28">
        <f t="shared" ref="D49:D57" si="0">(D$33+D$45)*C49</f>
        <v>380.5146528745455</v>
      </c>
    </row>
    <row r="50" spans="1:4" ht="15" customHeight="1" x14ac:dyDescent="0.25">
      <c r="A50" s="45" t="s">
        <v>763</v>
      </c>
      <c r="B50" s="46" t="s">
        <v>764</v>
      </c>
      <c r="C50" s="136">
        <v>2.5000000000000001E-2</v>
      </c>
      <c r="D50" s="28">
        <f t="shared" si="0"/>
        <v>47.564331609318188</v>
      </c>
    </row>
    <row r="51" spans="1:4" ht="15" customHeight="1" x14ac:dyDescent="0.25">
      <c r="A51" s="45" t="s">
        <v>765</v>
      </c>
      <c r="B51" s="46" t="s">
        <v>766</v>
      </c>
      <c r="C51" s="144">
        <f>'DADOS CCT'!D$58*'DADOS CCT'!D$59</f>
        <v>0.06</v>
      </c>
      <c r="D51" s="28">
        <f t="shared" si="0"/>
        <v>114.15439586236364</v>
      </c>
    </row>
    <row r="52" spans="1:4" ht="15" customHeight="1" x14ac:dyDescent="0.25">
      <c r="A52" s="45" t="s">
        <v>767</v>
      </c>
      <c r="B52" s="46" t="s">
        <v>768</v>
      </c>
      <c r="C52" s="136">
        <v>1.4999999999999999E-2</v>
      </c>
      <c r="D52" s="28">
        <f t="shared" si="0"/>
        <v>28.538598965590911</v>
      </c>
    </row>
    <row r="53" spans="1:4" ht="15" customHeight="1" x14ac:dyDescent="0.25">
      <c r="A53" s="45" t="s">
        <v>769</v>
      </c>
      <c r="B53" s="46" t="s">
        <v>770</v>
      </c>
      <c r="C53" s="136">
        <v>0.01</v>
      </c>
      <c r="D53" s="28">
        <f t="shared" si="0"/>
        <v>19.025732643727274</v>
      </c>
    </row>
    <row r="54" spans="1:4" ht="15" customHeight="1" x14ac:dyDescent="0.25">
      <c r="A54" s="45" t="s">
        <v>771</v>
      </c>
      <c r="B54" s="46" t="s">
        <v>772</v>
      </c>
      <c r="C54" s="136">
        <v>6.0000000000000001E-3</v>
      </c>
      <c r="D54" s="28">
        <f t="shared" si="0"/>
        <v>11.415439586236365</v>
      </c>
    </row>
    <row r="55" spans="1:4" ht="15" customHeight="1" x14ac:dyDescent="0.25">
      <c r="A55" s="45" t="s">
        <v>773</v>
      </c>
      <c r="B55" s="46" t="s">
        <v>774</v>
      </c>
      <c r="C55" s="136">
        <v>2E-3</v>
      </c>
      <c r="D55" s="28">
        <f t="shared" si="0"/>
        <v>3.8051465287454551</v>
      </c>
    </row>
    <row r="56" spans="1:4" ht="15" customHeight="1" x14ac:dyDescent="0.25">
      <c r="A56" s="45" t="s">
        <v>775</v>
      </c>
      <c r="B56" s="46" t="s">
        <v>776</v>
      </c>
      <c r="C56" s="136">
        <v>0.08</v>
      </c>
      <c r="D56" s="28">
        <f t="shared" si="0"/>
        <v>152.20586114981819</v>
      </c>
    </row>
    <row r="57" spans="1:4" ht="15" customHeight="1" x14ac:dyDescent="0.25">
      <c r="A57" s="45" t="s">
        <v>777</v>
      </c>
      <c r="B57" s="46" t="s">
        <v>778</v>
      </c>
      <c r="C57" s="136"/>
      <c r="D57" s="28">
        <f t="shared" si="0"/>
        <v>0</v>
      </c>
    </row>
    <row r="58" spans="1:4" ht="15.75" customHeight="1" x14ac:dyDescent="0.25">
      <c r="A58" s="585" t="s">
        <v>752</v>
      </c>
      <c r="B58" s="412"/>
      <c r="C58" s="137">
        <f>SUM(C49:C50,C51:C57)</f>
        <v>0.39800000000000008</v>
      </c>
      <c r="D58" s="138">
        <f>SUM(D49:D57)</f>
        <v>757.22415922034565</v>
      </c>
    </row>
    <row r="59" spans="1:4" ht="20.25" customHeight="1" x14ac:dyDescent="0.25">
      <c r="A59" s="583" t="s">
        <v>779</v>
      </c>
      <c r="B59" s="586"/>
      <c r="C59" s="141"/>
      <c r="D59" s="41"/>
    </row>
    <row r="60" spans="1:4" ht="8.1" customHeight="1" x14ac:dyDescent="0.25">
      <c r="A60" s="125"/>
      <c r="B60" s="33"/>
      <c r="C60" s="140"/>
      <c r="D60" s="127"/>
    </row>
    <row r="61" spans="1:4" ht="15.75" customHeight="1" x14ac:dyDescent="0.25">
      <c r="A61" s="581" t="s">
        <v>780</v>
      </c>
      <c r="B61" s="572"/>
      <c r="C61" s="182"/>
      <c r="D61" s="183" t="s">
        <v>734</v>
      </c>
    </row>
    <row r="62" spans="1:4" ht="15.75" customHeight="1" x14ac:dyDescent="0.25">
      <c r="A62" s="45" t="s">
        <v>781</v>
      </c>
      <c r="B62" s="46" t="s">
        <v>782</v>
      </c>
      <c r="C62" s="145"/>
      <c r="D62" s="138">
        <f>((C63*C64*C65)-D66)*C67</f>
        <v>71.372181818181829</v>
      </c>
    </row>
    <row r="63" spans="1:4" ht="15.75" customHeight="1" x14ac:dyDescent="0.25">
      <c r="A63" s="45" t="s">
        <v>783</v>
      </c>
      <c r="B63" s="46" t="s">
        <v>784</v>
      </c>
      <c r="C63" s="146">
        <f>'DADOS CCT'!D49</f>
        <v>3.7</v>
      </c>
      <c r="D63" s="28">
        <v>0</v>
      </c>
    </row>
    <row r="64" spans="1:4" ht="15.75" customHeight="1" x14ac:dyDescent="0.25">
      <c r="A64" s="45" t="s">
        <v>785</v>
      </c>
      <c r="B64" s="46" t="s">
        <v>786</v>
      </c>
      <c r="C64" s="28">
        <v>2</v>
      </c>
      <c r="D64" s="28">
        <v>0</v>
      </c>
    </row>
    <row r="65" spans="1:4" ht="15.75" customHeight="1" x14ac:dyDescent="0.25">
      <c r="A65" s="45" t="s">
        <v>787</v>
      </c>
      <c r="B65" s="46" t="s">
        <v>788</v>
      </c>
      <c r="C65" s="147">
        <f>C$18</f>
        <v>21</v>
      </c>
      <c r="D65" s="28">
        <v>0</v>
      </c>
    </row>
    <row r="66" spans="1:4" ht="15.75" customHeight="1" x14ac:dyDescent="0.25">
      <c r="A66" s="45" t="s">
        <v>789</v>
      </c>
      <c r="B66" s="46" t="s">
        <v>790</v>
      </c>
      <c r="C66" s="136">
        <v>0.06</v>
      </c>
      <c r="D66" s="28">
        <f>C66*D$28</f>
        <v>84.027818181818176</v>
      </c>
    </row>
    <row r="67" spans="1:4" ht="15.75" customHeight="1" x14ac:dyDescent="0.25">
      <c r="A67" s="45" t="s">
        <v>791</v>
      </c>
      <c r="B67" s="46" t="s">
        <v>792</v>
      </c>
      <c r="C67" s="144">
        <f>'DADOS CCT'!D50</f>
        <v>1</v>
      </c>
      <c r="D67" s="28">
        <v>0</v>
      </c>
    </row>
    <row r="68" spans="1:4" ht="15.75" customHeight="1" x14ac:dyDescent="0.25">
      <c r="A68" s="45" t="s">
        <v>793</v>
      </c>
      <c r="B68" s="46" t="s">
        <v>794</v>
      </c>
      <c r="C68" s="136"/>
      <c r="D68" s="138">
        <f>(C69*C70)-D71</f>
        <v>402.79679999999996</v>
      </c>
    </row>
    <row r="69" spans="1:4" ht="15.75" customHeight="1" x14ac:dyDescent="0.25">
      <c r="A69" s="45" t="s">
        <v>795</v>
      </c>
      <c r="B69" s="46" t="s">
        <v>796</v>
      </c>
      <c r="C69" s="146">
        <f>'DADOS CCT'!D51</f>
        <v>23.68</v>
      </c>
      <c r="D69" s="28">
        <v>0</v>
      </c>
    </row>
    <row r="70" spans="1:4" ht="15.75" customHeight="1" x14ac:dyDescent="0.25">
      <c r="A70" s="45" t="s">
        <v>797</v>
      </c>
      <c r="B70" s="46" t="s">
        <v>798</v>
      </c>
      <c r="C70" s="147">
        <f>C$18</f>
        <v>21</v>
      </c>
      <c r="D70" s="28">
        <v>0</v>
      </c>
    </row>
    <row r="71" spans="1:4" ht="15.75" customHeight="1" x14ac:dyDescent="0.25">
      <c r="A71" s="45" t="s">
        <v>799</v>
      </c>
      <c r="B71" s="46" t="s">
        <v>800</v>
      </c>
      <c r="C71" s="144">
        <f>'DADOS CCT'!D53</f>
        <v>0.19</v>
      </c>
      <c r="D71" s="28">
        <f>(C69*C70)*C71</f>
        <v>94.483199999999997</v>
      </c>
    </row>
    <row r="72" spans="1:4" ht="15.75" customHeight="1" x14ac:dyDescent="0.25">
      <c r="A72" s="45" t="s">
        <v>801</v>
      </c>
      <c r="B72" s="46" t="s">
        <v>802</v>
      </c>
      <c r="C72" s="136"/>
      <c r="D72" s="208">
        <f>'DADOS CCT'!D$54</f>
        <v>19.420000000000002</v>
      </c>
    </row>
    <row r="73" spans="1:4" ht="15.75" customHeight="1" x14ac:dyDescent="0.25">
      <c r="A73" s="45" t="s">
        <v>803</v>
      </c>
      <c r="B73" s="46" t="s">
        <v>804</v>
      </c>
      <c r="C73" s="136"/>
      <c r="D73" s="28">
        <v>0</v>
      </c>
    </row>
    <row r="74" spans="1:4" ht="15.75" customHeight="1" x14ac:dyDescent="0.25">
      <c r="A74" s="45" t="s">
        <v>805</v>
      </c>
      <c r="B74" s="46" t="s">
        <v>778</v>
      </c>
      <c r="C74" s="136"/>
      <c r="D74" s="28">
        <v>0</v>
      </c>
    </row>
    <row r="75" spans="1:4" ht="15.75" customHeight="1" x14ac:dyDescent="0.25">
      <c r="A75" s="582" t="s">
        <v>752</v>
      </c>
      <c r="B75" s="572"/>
      <c r="C75" s="184"/>
      <c r="D75" s="185">
        <f>SUM(D62,D68,D72:D74)</f>
        <v>493.58898181818182</v>
      </c>
    </row>
    <row r="76" spans="1:4" ht="38.25" customHeight="1" x14ac:dyDescent="0.25">
      <c r="A76" s="583" t="s">
        <v>1102</v>
      </c>
      <c r="B76" s="586"/>
      <c r="C76" s="40"/>
      <c r="D76" s="41"/>
    </row>
    <row r="77" spans="1:4" ht="8.1" customHeight="1" x14ac:dyDescent="0.25">
      <c r="A77" s="125"/>
      <c r="B77" s="33"/>
      <c r="C77" s="140"/>
      <c r="D77" s="127"/>
    </row>
    <row r="78" spans="1:4" ht="15.75" customHeight="1" x14ac:dyDescent="0.25">
      <c r="A78" s="581" t="s">
        <v>806</v>
      </c>
      <c r="B78" s="572"/>
      <c r="C78" s="182"/>
      <c r="D78" s="183" t="s">
        <v>734</v>
      </c>
    </row>
    <row r="79" spans="1:4" ht="15.75" customHeight="1" x14ac:dyDescent="0.25">
      <c r="A79" s="45" t="s">
        <v>807</v>
      </c>
      <c r="B79" s="46" t="s">
        <v>808</v>
      </c>
      <c r="C79" s="136"/>
      <c r="D79" s="28">
        <f>D45</f>
        <v>194.00762800909092</v>
      </c>
    </row>
    <row r="80" spans="1:4" ht="15.75" customHeight="1" x14ac:dyDescent="0.25">
      <c r="A80" s="45" t="s">
        <v>809</v>
      </c>
      <c r="B80" s="46" t="s">
        <v>810</v>
      </c>
      <c r="C80" s="28"/>
      <c r="D80" s="28">
        <f>D58</f>
        <v>757.22415922034565</v>
      </c>
    </row>
    <row r="81" spans="1:4" ht="15.75" customHeight="1" x14ac:dyDescent="0.25">
      <c r="A81" s="45" t="s">
        <v>811</v>
      </c>
      <c r="B81" s="46" t="s">
        <v>812</v>
      </c>
      <c r="C81" s="28"/>
      <c r="D81" s="28">
        <f>D75</f>
        <v>493.58898181818182</v>
      </c>
    </row>
    <row r="82" spans="1:4" ht="15.75" customHeight="1" thickBot="1" x14ac:dyDescent="0.3">
      <c r="A82" s="589" t="s">
        <v>752</v>
      </c>
      <c r="B82" s="590"/>
      <c r="C82" s="180"/>
      <c r="D82" s="181">
        <f>SUM(D79:D81)</f>
        <v>1444.8207690476183</v>
      </c>
    </row>
    <row r="83" spans="1:4" ht="8.1" customHeight="1" x14ac:dyDescent="0.25">
      <c r="A83" s="148"/>
      <c r="B83" s="149"/>
      <c r="C83" s="40"/>
      <c r="D83" s="41"/>
    </row>
    <row r="84" spans="1:4" ht="8.1" customHeight="1" thickBot="1" x14ac:dyDescent="0.3">
      <c r="A84" s="4"/>
      <c r="B84" s="1"/>
      <c r="C84" s="22"/>
      <c r="D84" s="6"/>
    </row>
    <row r="85" spans="1:4" ht="18" customHeight="1" x14ac:dyDescent="0.25">
      <c r="A85" s="591" t="s">
        <v>813</v>
      </c>
      <c r="B85" s="592"/>
      <c r="C85" s="12"/>
      <c r="D85" s="150" t="s">
        <v>734</v>
      </c>
    </row>
    <row r="86" spans="1:4" ht="15.75" customHeight="1" x14ac:dyDescent="0.25">
      <c r="A86" s="209" t="s">
        <v>814</v>
      </c>
      <c r="B86" s="210" t="s">
        <v>815</v>
      </c>
      <c r="C86" s="211">
        <v>0.05</v>
      </c>
      <c r="D86" s="212">
        <f>(D$33/$C$11)*C86*C89</f>
        <v>7.1190234848484852</v>
      </c>
    </row>
    <row r="87" spans="1:4" ht="15.75" customHeight="1" x14ac:dyDescent="0.25">
      <c r="A87" s="209" t="s">
        <v>816</v>
      </c>
      <c r="B87" s="210" t="s">
        <v>817</v>
      </c>
      <c r="C87" s="211">
        <f>C56</f>
        <v>0.08</v>
      </c>
      <c r="D87" s="212">
        <f>D86*C87</f>
        <v>0.56952187878787885</v>
      </c>
    </row>
    <row r="88" spans="1:4" ht="15.75" customHeight="1" x14ac:dyDescent="0.25">
      <c r="A88" s="209" t="s">
        <v>818</v>
      </c>
      <c r="B88" s="210" t="s">
        <v>819</v>
      </c>
      <c r="C88" s="211">
        <v>0.04</v>
      </c>
      <c r="D88" s="212">
        <f>D$33*C88</f>
        <v>68.342625454545455</v>
      </c>
    </row>
    <row r="89" spans="1:4" ht="15.75" customHeight="1" x14ac:dyDescent="0.25">
      <c r="A89" s="213" t="s">
        <v>820</v>
      </c>
      <c r="B89" s="214" t="s">
        <v>821</v>
      </c>
      <c r="C89" s="215">
        <v>1</v>
      </c>
      <c r="D89" s="216">
        <v>0</v>
      </c>
    </row>
    <row r="90" spans="1:4" ht="15.75" customHeight="1" x14ac:dyDescent="0.25">
      <c r="A90" s="18" t="s">
        <v>822</v>
      </c>
      <c r="B90" s="13" t="s">
        <v>823</v>
      </c>
      <c r="C90" s="15">
        <v>0.9</v>
      </c>
      <c r="D90" s="14">
        <f>(((D$33/30)*7)/12)*C90*C93</f>
        <v>29.899898636363641</v>
      </c>
    </row>
    <row r="91" spans="1:4" ht="15.75" customHeight="1" x14ac:dyDescent="0.25">
      <c r="A91" s="18" t="s">
        <v>820</v>
      </c>
      <c r="B91" s="13" t="s">
        <v>824</v>
      </c>
      <c r="C91" s="15">
        <f>C58</f>
        <v>0.39800000000000008</v>
      </c>
      <c r="D91" s="14">
        <f>D90*C91</f>
        <v>11.900159657272731</v>
      </c>
    </row>
    <row r="92" spans="1:4" ht="15.75" customHeight="1" x14ac:dyDescent="0.25">
      <c r="A92" s="18" t="s">
        <v>822</v>
      </c>
      <c r="B92" s="13" t="s">
        <v>825</v>
      </c>
      <c r="C92" s="17">
        <v>3.8080000000000003E-2</v>
      </c>
      <c r="D92" s="14">
        <f>D$33*C92</f>
        <v>65.062179432727277</v>
      </c>
    </row>
    <row r="93" spans="1:4" ht="15.75" customHeight="1" x14ac:dyDescent="0.25">
      <c r="A93" s="66" t="s">
        <v>826</v>
      </c>
      <c r="B93" s="34" t="s">
        <v>827</v>
      </c>
      <c r="C93" s="67">
        <v>1</v>
      </c>
      <c r="D93" s="35">
        <v>0</v>
      </c>
    </row>
    <row r="94" spans="1:4" ht="15.75" customHeight="1" thickBot="1" x14ac:dyDescent="0.3">
      <c r="A94" s="593" t="s">
        <v>752</v>
      </c>
      <c r="B94" s="594"/>
      <c r="C94" s="172"/>
      <c r="D94" s="173">
        <f>SUM(D86:D88,D90:D92)</f>
        <v>182.89340854454548</v>
      </c>
    </row>
    <row r="95" spans="1:4" ht="51" customHeight="1" x14ac:dyDescent="0.25">
      <c r="A95" s="577" t="s">
        <v>828</v>
      </c>
      <c r="B95" s="578"/>
      <c r="C95" s="3"/>
      <c r="D95" s="41"/>
    </row>
    <row r="96" spans="1:4" ht="15.95" customHeight="1" thickBot="1" x14ac:dyDescent="0.3">
      <c r="A96" s="4"/>
      <c r="B96" s="1"/>
      <c r="C96" s="22"/>
      <c r="D96" s="6"/>
    </row>
    <row r="97" spans="1:4" ht="18" customHeight="1" x14ac:dyDescent="0.25">
      <c r="A97" s="591" t="s">
        <v>829</v>
      </c>
      <c r="B97" s="592"/>
      <c r="C97" s="12"/>
      <c r="D97" s="150" t="s">
        <v>734</v>
      </c>
    </row>
    <row r="98" spans="1:4" ht="8.1" customHeight="1" x14ac:dyDescent="0.25">
      <c r="A98" s="7"/>
      <c r="C98" s="8"/>
      <c r="D98" s="127"/>
    </row>
    <row r="99" spans="1:4" ht="15.75" customHeight="1" x14ac:dyDescent="0.25">
      <c r="A99" s="587" t="s">
        <v>830</v>
      </c>
      <c r="B99" s="588"/>
      <c r="C99" s="151"/>
      <c r="D99" s="152">
        <f>SUM(D33,D45,D102)</f>
        <v>2057.6255958727274</v>
      </c>
    </row>
    <row r="100" spans="1:4" ht="8.1" customHeight="1" x14ac:dyDescent="0.25">
      <c r="A100" s="7"/>
      <c r="C100" s="8"/>
      <c r="D100" s="127"/>
    </row>
    <row r="101" spans="1:4" ht="15.75" customHeight="1" x14ac:dyDescent="0.25">
      <c r="A101" s="587" t="s">
        <v>831</v>
      </c>
      <c r="B101" s="588"/>
      <c r="C101" s="151"/>
      <c r="D101" s="152" t="s">
        <v>734</v>
      </c>
    </row>
    <row r="102" spans="1:4" ht="15.75" customHeight="1" x14ac:dyDescent="0.25">
      <c r="A102" s="18" t="s">
        <v>832</v>
      </c>
      <c r="B102" s="13" t="s">
        <v>833</v>
      </c>
      <c r="C102" s="17">
        <v>9.0749999999999997E-2</v>
      </c>
      <c r="D102" s="14">
        <f>D$33*C102</f>
        <v>155.05233150000001</v>
      </c>
    </row>
    <row r="103" spans="1:4" ht="15.75" customHeight="1" x14ac:dyDescent="0.25">
      <c r="A103" s="18" t="s">
        <v>834</v>
      </c>
      <c r="B103" s="13" t="s">
        <v>835</v>
      </c>
      <c r="C103" s="14">
        <v>1</v>
      </c>
      <c r="D103" s="14">
        <f>((D99/30)*C103)/12</f>
        <v>5.7156266552020201</v>
      </c>
    </row>
    <row r="104" spans="1:4" ht="15.75" customHeight="1" x14ac:dyDescent="0.25">
      <c r="A104" s="18" t="s">
        <v>836</v>
      </c>
      <c r="B104" s="13" t="s">
        <v>837</v>
      </c>
      <c r="C104" s="15">
        <v>1.4999999999999999E-2</v>
      </c>
      <c r="D104" s="14">
        <f>((D99/30)*5/12)*C104</f>
        <v>0.42867199914015153</v>
      </c>
    </row>
    <row r="105" spans="1:4" ht="15.75" customHeight="1" x14ac:dyDescent="0.25">
      <c r="A105" s="18" t="s">
        <v>838</v>
      </c>
      <c r="B105" s="13" t="s">
        <v>839</v>
      </c>
      <c r="C105" s="15">
        <v>7.7999999999999996E-3</v>
      </c>
      <c r="D105" s="14">
        <f>((D99/30)*15/12)*C105</f>
        <v>0.66872831865863636</v>
      </c>
    </row>
    <row r="106" spans="1:4" ht="15.75" customHeight="1" x14ac:dyDescent="0.25">
      <c r="A106" s="18" t="s">
        <v>840</v>
      </c>
      <c r="B106" s="13" t="s">
        <v>841</v>
      </c>
      <c r="C106" s="15">
        <v>0.02</v>
      </c>
      <c r="D106" s="14">
        <f>(((D33+(D33/3))/12)*(4/12))*C106</f>
        <v>1.2656041750841751</v>
      </c>
    </row>
    <row r="107" spans="1:4" ht="15.75" customHeight="1" x14ac:dyDescent="0.25">
      <c r="A107" s="18" t="s">
        <v>842</v>
      </c>
      <c r="B107" s="13" t="s">
        <v>843</v>
      </c>
      <c r="C107" s="14">
        <v>3</v>
      </c>
      <c r="D107" s="14">
        <f>((D99/30)*C107)/12</f>
        <v>17.146879965606061</v>
      </c>
    </row>
    <row r="108" spans="1:4" ht="15.75" customHeight="1" x14ac:dyDescent="0.25">
      <c r="A108" s="18" t="s">
        <v>844</v>
      </c>
      <c r="B108" s="13" t="s">
        <v>845</v>
      </c>
      <c r="C108" s="14"/>
      <c r="D108" s="14">
        <f>((D99/30)*C108)/12</f>
        <v>0</v>
      </c>
    </row>
    <row r="109" spans="1:4" ht="15.75" customHeight="1" x14ac:dyDescent="0.25">
      <c r="A109" s="595" t="s">
        <v>752</v>
      </c>
      <c r="B109" s="588"/>
      <c r="C109" s="175"/>
      <c r="D109" s="44">
        <f>SUM(D102:D107)</f>
        <v>180.27784261369106</v>
      </c>
    </row>
    <row r="110" spans="1:4" ht="15.75" customHeight="1" x14ac:dyDescent="0.25">
      <c r="A110" s="18" t="s">
        <v>846</v>
      </c>
      <c r="B110" s="13" t="s">
        <v>847</v>
      </c>
      <c r="C110" s="15">
        <f>C58</f>
        <v>0.39800000000000008</v>
      </c>
      <c r="D110" s="14">
        <f>D109*C110</f>
        <v>71.750581360249058</v>
      </c>
    </row>
    <row r="111" spans="1:4" ht="15.75" customHeight="1" x14ac:dyDescent="0.25">
      <c r="A111" s="596" t="s">
        <v>752</v>
      </c>
      <c r="B111" s="588"/>
      <c r="C111" s="179"/>
      <c r="D111" s="178">
        <f>SUM(D109:D110)</f>
        <v>252.02842397394011</v>
      </c>
    </row>
    <row r="112" spans="1:4" ht="61.5" customHeight="1" x14ac:dyDescent="0.25">
      <c r="A112" s="577" t="s">
        <v>848</v>
      </c>
      <c r="B112" s="578"/>
      <c r="C112" s="3"/>
      <c r="D112" s="41"/>
    </row>
    <row r="113" spans="1:4" ht="8.1" customHeight="1" x14ac:dyDescent="0.25">
      <c r="A113" s="125"/>
      <c r="B113" s="42"/>
      <c r="C113" s="140"/>
      <c r="D113" s="127"/>
    </row>
    <row r="114" spans="1:4" ht="15.75" customHeight="1" x14ac:dyDescent="0.25">
      <c r="A114" s="587" t="s">
        <v>849</v>
      </c>
      <c r="B114" s="588"/>
      <c r="C114" s="151"/>
      <c r="D114" s="152" t="s">
        <v>734</v>
      </c>
    </row>
    <row r="115" spans="1:4" ht="15.75" customHeight="1" x14ac:dyDescent="0.25">
      <c r="A115" s="18" t="s">
        <v>850</v>
      </c>
      <c r="B115" s="13" t="s">
        <v>851</v>
      </c>
      <c r="C115" s="14">
        <v>0</v>
      </c>
      <c r="D115" s="14">
        <f>((D$37+D$82)/C$28)*C115*C$18</f>
        <v>0</v>
      </c>
    </row>
    <row r="116" spans="1:4" ht="15.75" customHeight="1" x14ac:dyDescent="0.25">
      <c r="A116" s="18" t="s">
        <v>852</v>
      </c>
      <c r="B116" s="13" t="s">
        <v>853</v>
      </c>
      <c r="C116" s="15">
        <f>C58</f>
        <v>0.39800000000000008</v>
      </c>
      <c r="D116" s="14">
        <f>D115*C116</f>
        <v>0</v>
      </c>
    </row>
    <row r="117" spans="1:4" ht="15.75" customHeight="1" x14ac:dyDescent="0.25">
      <c r="A117" s="596" t="s">
        <v>752</v>
      </c>
      <c r="B117" s="588"/>
      <c r="C117" s="177"/>
      <c r="D117" s="178">
        <f>SUM(D115:D116)</f>
        <v>0</v>
      </c>
    </row>
    <row r="118" spans="1:4" ht="8.1" customHeight="1" x14ac:dyDescent="0.25">
      <c r="A118" s="577"/>
      <c r="B118" s="578"/>
      <c r="C118" s="3"/>
      <c r="D118" s="41"/>
    </row>
    <row r="119" spans="1:4" ht="8.1" customHeight="1" x14ac:dyDescent="0.25">
      <c r="A119" s="7"/>
      <c r="C119" s="20"/>
      <c r="D119" s="127"/>
    </row>
    <row r="120" spans="1:4" ht="15.75" customHeight="1" x14ac:dyDescent="0.25">
      <c r="A120" s="587" t="s">
        <v>854</v>
      </c>
      <c r="B120" s="588"/>
      <c r="C120" s="151"/>
      <c r="D120" s="152" t="s">
        <v>734</v>
      </c>
    </row>
    <row r="121" spans="1:4" ht="15.75" customHeight="1" x14ac:dyDescent="0.25">
      <c r="A121" s="18" t="s">
        <v>855</v>
      </c>
      <c r="B121" s="13" t="s">
        <v>856</v>
      </c>
      <c r="C121" s="15"/>
      <c r="D121" s="14">
        <f>D111</f>
        <v>252.02842397394011</v>
      </c>
    </row>
    <row r="122" spans="1:4" ht="15.75" customHeight="1" x14ac:dyDescent="0.25">
      <c r="A122" s="18" t="s">
        <v>857</v>
      </c>
      <c r="B122" s="13" t="s">
        <v>858</v>
      </c>
      <c r="C122" s="14"/>
      <c r="D122" s="14">
        <f>D117</f>
        <v>0</v>
      </c>
    </row>
    <row r="123" spans="1:4" ht="15.75" customHeight="1" thickBot="1" x14ac:dyDescent="0.3">
      <c r="A123" s="593" t="s">
        <v>752</v>
      </c>
      <c r="B123" s="594"/>
      <c r="C123" s="172"/>
      <c r="D123" s="173">
        <f>SUM(D121:D122)</f>
        <v>252.02842397394011</v>
      </c>
    </row>
    <row r="124" spans="1:4" ht="8.1" customHeight="1" x14ac:dyDescent="0.25">
      <c r="A124" s="153"/>
      <c r="B124" s="154"/>
      <c r="C124" s="155"/>
      <c r="D124" s="156"/>
    </row>
    <row r="125" spans="1:4" ht="8.1" customHeight="1" thickBot="1" x14ac:dyDescent="0.3">
      <c r="A125" s="125"/>
      <c r="B125" s="42"/>
      <c r="C125" s="140"/>
      <c r="D125" s="127"/>
    </row>
    <row r="126" spans="1:4" ht="18" customHeight="1" x14ac:dyDescent="0.25">
      <c r="A126" s="591" t="s">
        <v>859</v>
      </c>
      <c r="B126" s="592"/>
      <c r="C126" s="12"/>
      <c r="D126" s="150" t="s">
        <v>734</v>
      </c>
    </row>
    <row r="127" spans="1:4" ht="15.75" customHeight="1" x14ac:dyDescent="0.25">
      <c r="A127" s="174" t="s">
        <v>860</v>
      </c>
      <c r="B127" s="175" t="s">
        <v>861</v>
      </c>
      <c r="C127" s="176"/>
      <c r="D127" s="44">
        <f>tbUNIFORMESL[[#Totals],[VL. MENSAL]]</f>
        <v>167.72833333333332</v>
      </c>
    </row>
    <row r="128" spans="1:4" ht="15.75" customHeight="1" x14ac:dyDescent="0.25">
      <c r="A128" s="174" t="s">
        <v>862</v>
      </c>
      <c r="B128" s="175" t="s">
        <v>863</v>
      </c>
      <c r="C128" s="176"/>
      <c r="D128" s="44">
        <v>0</v>
      </c>
    </row>
    <row r="129" spans="1:4" ht="15.75" customHeight="1" x14ac:dyDescent="0.25">
      <c r="A129" s="174" t="s">
        <v>864</v>
      </c>
      <c r="B129" s="175" t="s">
        <v>865</v>
      </c>
      <c r="C129" s="176"/>
      <c r="D129" s="44">
        <v>0</v>
      </c>
    </row>
    <row r="130" spans="1:4" ht="15.75" customHeight="1" x14ac:dyDescent="0.25">
      <c r="A130" s="174" t="s">
        <v>866</v>
      </c>
      <c r="B130" s="175" t="s">
        <v>867</v>
      </c>
      <c r="C130" s="176"/>
      <c r="D130" s="44">
        <v>0</v>
      </c>
    </row>
    <row r="131" spans="1:4" ht="15.75" customHeight="1" thickBot="1" x14ac:dyDescent="0.3">
      <c r="A131" s="593" t="s">
        <v>752</v>
      </c>
      <c r="B131" s="594"/>
      <c r="C131" s="172"/>
      <c r="D131" s="173">
        <f>SUM(D127:D130)</f>
        <v>167.72833333333332</v>
      </c>
    </row>
    <row r="132" spans="1:4" ht="15.95" customHeight="1" thickBot="1" x14ac:dyDescent="0.3">
      <c r="A132" s="4"/>
      <c r="B132" s="1"/>
      <c r="C132" s="22"/>
      <c r="D132" s="6"/>
    </row>
    <row r="133" spans="1:4" ht="18" customHeight="1" x14ac:dyDescent="0.25">
      <c r="A133" s="591" t="s">
        <v>868</v>
      </c>
      <c r="B133" s="592"/>
      <c r="C133" s="12"/>
      <c r="D133" s="150" t="s">
        <v>734</v>
      </c>
    </row>
    <row r="134" spans="1:4" ht="8.1" customHeight="1" x14ac:dyDescent="0.25">
      <c r="A134" s="7"/>
      <c r="C134" s="8"/>
      <c r="D134" s="127"/>
    </row>
    <row r="135" spans="1:4" ht="15.75" customHeight="1" x14ac:dyDescent="0.25">
      <c r="A135" s="587" t="s">
        <v>869</v>
      </c>
      <c r="B135" s="588"/>
      <c r="C135" s="151"/>
      <c r="D135" s="152">
        <f>SUM(D37,D82,D94,D123,D131)</f>
        <v>3756.0365712630737</v>
      </c>
    </row>
    <row r="136" spans="1:4" ht="8.1" customHeight="1" x14ac:dyDescent="0.25">
      <c r="A136" s="7"/>
      <c r="C136" s="8"/>
      <c r="D136" s="127"/>
    </row>
    <row r="137" spans="1:4" ht="15.75" customHeight="1" x14ac:dyDescent="0.25">
      <c r="A137" s="66" t="s">
        <v>870</v>
      </c>
      <c r="B137" s="34" t="s">
        <v>871</v>
      </c>
      <c r="C137" s="67">
        <v>0.05</v>
      </c>
      <c r="D137" s="35">
        <f>D$135*C137</f>
        <v>187.80182856315369</v>
      </c>
    </row>
    <row r="138" spans="1:4" ht="15.75" customHeight="1" x14ac:dyDescent="0.25">
      <c r="A138" s="66" t="s">
        <v>872</v>
      </c>
      <c r="B138" s="34" t="s">
        <v>873</v>
      </c>
      <c r="C138" s="67">
        <v>0.1</v>
      </c>
      <c r="D138" s="35">
        <f>SUM(D135,D137)*C138</f>
        <v>394.38383998262276</v>
      </c>
    </row>
    <row r="139" spans="1:4" ht="8.1" customHeight="1" x14ac:dyDescent="0.25">
      <c r="A139" s="7"/>
      <c r="C139" s="8"/>
      <c r="D139" s="127"/>
    </row>
    <row r="140" spans="1:4" ht="15.75" customHeight="1" x14ac:dyDescent="0.25">
      <c r="A140" s="587" t="s">
        <v>874</v>
      </c>
      <c r="B140" s="588"/>
      <c r="C140" s="151"/>
      <c r="D140" s="152">
        <f>SUM(D135,D137:D138)</f>
        <v>4338.2222398088506</v>
      </c>
    </row>
    <row r="141" spans="1:4" ht="8.1" customHeight="1" x14ac:dyDescent="0.25">
      <c r="A141" s="7"/>
      <c r="C141" s="8"/>
      <c r="D141" s="127"/>
    </row>
    <row r="142" spans="1:4" ht="15.75" customHeight="1" x14ac:dyDescent="0.25">
      <c r="A142" s="18" t="s">
        <v>875</v>
      </c>
      <c r="B142" s="13" t="s">
        <v>876</v>
      </c>
      <c r="C142" s="19">
        <f>'DADOS CCT'!D57</f>
        <v>7.5999999999999998E-2</v>
      </c>
      <c r="D142" s="14">
        <f>(D$140/(1-C$146))*C142</f>
        <v>371.49846785968754</v>
      </c>
    </row>
    <row r="143" spans="1:4" ht="15.75" customHeight="1" x14ac:dyDescent="0.25">
      <c r="A143" s="18" t="s">
        <v>877</v>
      </c>
      <c r="B143" s="13" t="s">
        <v>878</v>
      </c>
      <c r="C143" s="19">
        <f>'DADOS CCT'!D56</f>
        <v>1.6500000000000001E-2</v>
      </c>
      <c r="D143" s="14">
        <f>(D$140/(1-C$146))*C143</f>
        <v>80.654272627432164</v>
      </c>
    </row>
    <row r="144" spans="1:4" ht="15.75" customHeight="1" x14ac:dyDescent="0.25">
      <c r="A144" s="18" t="s">
        <v>879</v>
      </c>
      <c r="B144" s="13" t="s">
        <v>880</v>
      </c>
      <c r="C144" s="15"/>
      <c r="D144" s="14">
        <f>(D$140/(1-C$146))*C144</f>
        <v>0</v>
      </c>
    </row>
    <row r="145" spans="1:4" ht="15.75" customHeight="1" x14ac:dyDescent="0.25">
      <c r="A145" s="18" t="s">
        <v>881</v>
      </c>
      <c r="B145" s="13" t="s">
        <v>882</v>
      </c>
      <c r="C145" s="19">
        <f>'DADOS CCT'!D55</f>
        <v>0.02</v>
      </c>
      <c r="D145" s="14">
        <f>(D$140/(1-C$146))*C145</f>
        <v>97.762754699917764</v>
      </c>
    </row>
    <row r="146" spans="1:4" ht="15.75" customHeight="1" thickBot="1" x14ac:dyDescent="0.3">
      <c r="A146" s="599" t="s">
        <v>752</v>
      </c>
      <c r="B146" s="600"/>
      <c r="C146" s="43">
        <f>SUM(C142:C145)</f>
        <v>0.1125</v>
      </c>
      <c r="D146" s="39">
        <f>SUM(D137:D138,D142:D145)</f>
        <v>1132.1011637328138</v>
      </c>
    </row>
    <row r="147" spans="1:4" ht="15.95" customHeight="1" thickBot="1" x14ac:dyDescent="0.3">
      <c r="A147" s="4"/>
      <c r="B147" s="1"/>
      <c r="C147" s="22"/>
      <c r="D147" s="6"/>
    </row>
    <row r="148" spans="1:4" ht="18" customHeight="1" x14ac:dyDescent="0.25">
      <c r="A148" s="601" t="s">
        <v>883</v>
      </c>
      <c r="B148" s="602"/>
      <c r="C148" s="170"/>
      <c r="D148" s="171" t="s">
        <v>734</v>
      </c>
    </row>
    <row r="149" spans="1:4" ht="15.75" customHeight="1" x14ac:dyDescent="0.25">
      <c r="A149" s="45"/>
      <c r="B149" s="46" t="s">
        <v>884</v>
      </c>
      <c r="C149" s="136"/>
      <c r="D149" s="28">
        <f>D37</f>
        <v>1708.5656363636365</v>
      </c>
    </row>
    <row r="150" spans="1:4" ht="15.75" customHeight="1" x14ac:dyDescent="0.25">
      <c r="A150" s="45"/>
      <c r="B150" s="46" t="s">
        <v>885</v>
      </c>
      <c r="C150" s="136"/>
      <c r="D150" s="28">
        <f>D82</f>
        <v>1444.8207690476183</v>
      </c>
    </row>
    <row r="151" spans="1:4" ht="15.75" customHeight="1" x14ac:dyDescent="0.25">
      <c r="A151" s="45"/>
      <c r="B151" s="46" t="s">
        <v>886</v>
      </c>
      <c r="C151" s="143"/>
      <c r="D151" s="28">
        <f>D94</f>
        <v>182.89340854454548</v>
      </c>
    </row>
    <row r="152" spans="1:4" ht="15.75" customHeight="1" x14ac:dyDescent="0.25">
      <c r="A152" s="45"/>
      <c r="B152" s="46" t="s">
        <v>887</v>
      </c>
      <c r="C152" s="136"/>
      <c r="D152" s="28">
        <f>D123</f>
        <v>252.02842397394011</v>
      </c>
    </row>
    <row r="153" spans="1:4" ht="15.75" customHeight="1" x14ac:dyDescent="0.25">
      <c r="A153" s="45"/>
      <c r="B153" s="46" t="s">
        <v>888</v>
      </c>
      <c r="C153" s="136"/>
      <c r="D153" s="28">
        <f>D131</f>
        <v>167.72833333333332</v>
      </c>
    </row>
    <row r="154" spans="1:4" ht="15.75" customHeight="1" x14ac:dyDescent="0.25">
      <c r="A154" s="585" t="s">
        <v>752</v>
      </c>
      <c r="B154" s="412"/>
      <c r="C154" s="137"/>
      <c r="D154" s="138">
        <f>SUM(D149:D153)</f>
        <v>3756.0365712630737</v>
      </c>
    </row>
    <row r="155" spans="1:4" ht="15.75" customHeight="1" x14ac:dyDescent="0.25">
      <c r="A155" s="45"/>
      <c r="B155" s="46" t="s">
        <v>889</v>
      </c>
      <c r="C155" s="143"/>
      <c r="D155" s="28">
        <f>D146</f>
        <v>1132.1011637328138</v>
      </c>
    </row>
    <row r="156" spans="1:4" ht="15.75" customHeight="1" thickBot="1" x14ac:dyDescent="0.35">
      <c r="A156" s="603" t="s">
        <v>890</v>
      </c>
      <c r="B156" s="604"/>
      <c r="C156" s="168"/>
      <c r="D156" s="169">
        <f>TRUNC(SUM(D154:D155),2)</f>
        <v>4888.13</v>
      </c>
    </row>
    <row r="157" spans="1:4" ht="8.1" customHeight="1" thickBot="1" x14ac:dyDescent="0.3">
      <c r="A157" s="9"/>
      <c r="B157" s="10"/>
      <c r="C157" s="21"/>
      <c r="D157" s="11"/>
    </row>
    <row r="158" spans="1:4" ht="15.75" customHeight="1" thickBot="1" x14ac:dyDescent="0.3">
      <c r="A158" s="605" t="s">
        <v>891</v>
      </c>
      <c r="B158" s="470"/>
      <c r="C158" s="166"/>
      <c r="D158" s="167">
        <v>1</v>
      </c>
    </row>
    <row r="159" spans="1:4" ht="8.1" customHeight="1" thickBot="1" x14ac:dyDescent="0.3">
      <c r="A159" s="9"/>
      <c r="B159" s="10"/>
      <c r="C159" s="21"/>
      <c r="D159" s="11"/>
    </row>
    <row r="160" spans="1:4" ht="15.75" customHeight="1" thickBot="1" x14ac:dyDescent="0.35">
      <c r="A160" s="597" t="s">
        <v>892</v>
      </c>
      <c r="B160" s="598"/>
      <c r="C160" s="164"/>
      <c r="D160" s="165">
        <f>TRUNC(D156*D158,2)</f>
        <v>4888.13</v>
      </c>
    </row>
    <row r="161" spans="1:4" ht="15.95" customHeight="1" thickBot="1" x14ac:dyDescent="0.3"/>
    <row r="162" spans="1:4" ht="15.75" customHeight="1" thickBot="1" x14ac:dyDescent="0.35">
      <c r="A162" s="561" t="s">
        <v>893</v>
      </c>
      <c r="B162" s="562"/>
      <c r="C162" s="162"/>
      <c r="D162" s="163">
        <f>D156/D37</f>
        <v>2.8609553510648111</v>
      </c>
    </row>
    <row r="163" spans="1:4" ht="15.95" customHeight="1" thickBot="1" x14ac:dyDescent="0.3">
      <c r="A163" s="33"/>
      <c r="B163" s="33"/>
      <c r="C163" s="33"/>
    </row>
    <row r="164" spans="1:4" ht="15.75" customHeight="1" x14ac:dyDescent="0.3">
      <c r="A164" s="551" t="s">
        <v>894</v>
      </c>
      <c r="B164" s="551"/>
      <c r="C164" s="160"/>
      <c r="D164" s="161"/>
    </row>
    <row r="165" spans="1:4" ht="15" customHeight="1" thickBot="1" x14ac:dyDescent="0.3">
      <c r="A165" s="157"/>
      <c r="B165" s="157" t="s">
        <v>895</v>
      </c>
      <c r="C165" s="157"/>
      <c r="D165" s="158">
        <f>TRUNC(D156/C$18,2)</f>
        <v>232.76</v>
      </c>
    </row>
  </sheetData>
  <mergeCells count="65">
    <mergeCell ref="C15:D15"/>
    <mergeCell ref="C3:D3"/>
    <mergeCell ref="C4:D4"/>
    <mergeCell ref="C5:D5"/>
    <mergeCell ref="A7:B7"/>
    <mergeCell ref="C8:D8"/>
    <mergeCell ref="C9:D9"/>
    <mergeCell ref="C10:D10"/>
    <mergeCell ref="C11:D11"/>
    <mergeCell ref="C12:D12"/>
    <mergeCell ref="C13:D13"/>
    <mergeCell ref="C14:D14"/>
    <mergeCell ref="A33:B33"/>
    <mergeCell ref="C16:D16"/>
    <mergeCell ref="C17:D17"/>
    <mergeCell ref="C18:D18"/>
    <mergeCell ref="C19:D19"/>
    <mergeCell ref="C20:D20"/>
    <mergeCell ref="C21:D21"/>
    <mergeCell ref="C22:D22"/>
    <mergeCell ref="C23:D23"/>
    <mergeCell ref="A25:B25"/>
    <mergeCell ref="C25:D25"/>
    <mergeCell ref="A27:B27"/>
    <mergeCell ref="A76:B76"/>
    <mergeCell ref="A37:B37"/>
    <mergeCell ref="A38:B38"/>
    <mergeCell ref="A40:B40"/>
    <mergeCell ref="A42:B42"/>
    <mergeCell ref="A45:B45"/>
    <mergeCell ref="A46:B46"/>
    <mergeCell ref="A48:B48"/>
    <mergeCell ref="A58:B58"/>
    <mergeCell ref="A59:B59"/>
    <mergeCell ref="A61:B61"/>
    <mergeCell ref="A75:B75"/>
    <mergeCell ref="A114:B114"/>
    <mergeCell ref="A78:B78"/>
    <mergeCell ref="A82:B82"/>
    <mergeCell ref="A85:B85"/>
    <mergeCell ref="A94:B94"/>
    <mergeCell ref="A95:B95"/>
    <mergeCell ref="A97:B97"/>
    <mergeCell ref="A99:B99"/>
    <mergeCell ref="A101:B101"/>
    <mergeCell ref="A109:B109"/>
    <mergeCell ref="A111:B111"/>
    <mergeCell ref="A112:B112"/>
    <mergeCell ref="A154:B154"/>
    <mergeCell ref="A117:B117"/>
    <mergeCell ref="A118:B118"/>
    <mergeCell ref="A120:B120"/>
    <mergeCell ref="A123:B123"/>
    <mergeCell ref="A126:B126"/>
    <mergeCell ref="A131:B131"/>
    <mergeCell ref="A133:B133"/>
    <mergeCell ref="A135:B135"/>
    <mergeCell ref="A140:B140"/>
    <mergeCell ref="A146:B146"/>
    <mergeCell ref="A148:B148"/>
    <mergeCell ref="A156:B156"/>
    <mergeCell ref="A158:B158"/>
    <mergeCell ref="A160:B160"/>
    <mergeCell ref="A162:B162"/>
    <mergeCell ref="A164:B164"/>
  </mergeCells>
  <pageMargins left="0.70866141732283472" right="0.70866141732283472" top="0.74803149606299213" bottom="0.74803149606299213" header="0" footer="0"/>
  <pageSetup paperSize="9" scale="80" fitToHeight="0" orientation="portrait" r:id="rId1"/>
  <rowBreaks count="4" manualBreakCount="4">
    <brk id="38" max="3" man="1"/>
    <brk id="83" max="3" man="1"/>
    <brk id="90" max="16383" man="1"/>
    <brk id="124" max="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2EBA6-5DB8-48DB-9577-6AD552C4B69E}">
  <sheetPr>
    <tabColor theme="2" tint="-0.34998626667073579"/>
    <outlinePr summaryBelow="0"/>
    <pageSetUpPr fitToPage="1"/>
  </sheetPr>
  <dimension ref="A1:D165"/>
  <sheetViews>
    <sheetView workbookViewId="0"/>
  </sheetViews>
  <sheetFormatPr defaultColWidth="14.42578125" defaultRowHeight="15" customHeight="1" x14ac:dyDescent="0.25"/>
  <cols>
    <col min="1" max="1" width="6.7109375" customWidth="1"/>
    <col min="2" max="2" width="64.7109375" customWidth="1"/>
    <col min="3" max="3" width="18.7109375" customWidth="1"/>
    <col min="4" max="4" width="18.7109375" style="33" customWidth="1"/>
    <col min="5" max="16384" width="14.42578125" style="159"/>
  </cols>
  <sheetData>
    <row r="1" spans="1:4" ht="40.5" customHeight="1" x14ac:dyDescent="0.25">
      <c r="A1" s="38"/>
      <c r="B1" s="313" t="s">
        <v>692</v>
      </c>
      <c r="C1" s="37"/>
      <c r="D1" s="37"/>
    </row>
    <row r="2" spans="1:4" ht="15.95" customHeight="1" thickBot="1" x14ac:dyDescent="0.3">
      <c r="A2" s="125"/>
      <c r="B2" s="42"/>
      <c r="C2" s="126"/>
      <c r="D2" s="127"/>
    </row>
    <row r="3" spans="1:4" ht="15" customHeight="1" x14ac:dyDescent="0.25">
      <c r="A3" s="192"/>
      <c r="B3" s="314" t="s">
        <v>693</v>
      </c>
      <c r="C3" s="552"/>
      <c r="D3" s="552"/>
    </row>
    <row r="4" spans="1:4" ht="15" customHeight="1" x14ac:dyDescent="0.25">
      <c r="A4" s="193"/>
      <c r="B4" s="274" t="s">
        <v>694</v>
      </c>
      <c r="C4" s="553"/>
      <c r="D4" s="553"/>
    </row>
    <row r="5" spans="1:4" ht="15.75" customHeight="1" thickBot="1" x14ac:dyDescent="0.3">
      <c r="A5" s="194"/>
      <c r="B5" s="195" t="s">
        <v>695</v>
      </c>
      <c r="C5" s="554"/>
      <c r="D5" s="554"/>
    </row>
    <row r="6" spans="1:4" ht="15.95" customHeight="1" thickBot="1" x14ac:dyDescent="0.3">
      <c r="A6" s="125"/>
      <c r="B6" s="42"/>
      <c r="C6" s="126"/>
      <c r="D6" s="127"/>
    </row>
    <row r="7" spans="1:4" ht="15" customHeight="1" x14ac:dyDescent="0.25">
      <c r="A7" s="563" t="s">
        <v>696</v>
      </c>
      <c r="B7" s="564"/>
      <c r="C7" s="128"/>
      <c r="D7" s="129"/>
    </row>
    <row r="8" spans="1:4" ht="15" customHeight="1" x14ac:dyDescent="0.25">
      <c r="A8" s="45" t="s">
        <v>697</v>
      </c>
      <c r="B8" s="263" t="s">
        <v>698</v>
      </c>
      <c r="C8" s="555"/>
      <c r="D8" s="555"/>
    </row>
    <row r="9" spans="1:4" ht="15" customHeight="1" x14ac:dyDescent="0.25">
      <c r="A9" s="45" t="s">
        <v>699</v>
      </c>
      <c r="B9" s="263" t="s">
        <v>700</v>
      </c>
      <c r="C9" s="555" t="str">
        <f>'DADOS CCT'!B43</f>
        <v>FREDERICO WESTPHALEN</v>
      </c>
      <c r="D9" s="555"/>
    </row>
    <row r="10" spans="1:4" ht="15" customHeight="1" x14ac:dyDescent="0.25">
      <c r="A10" s="45" t="s">
        <v>701</v>
      </c>
      <c r="B10" s="263" t="s">
        <v>702</v>
      </c>
      <c r="C10" s="555" t="str">
        <f>'DADOS CCT'!C43&amp;" - "&amp;'DADOS CCT'!D44</f>
        <v>SINDILIMP/RS - RS000044/2024</v>
      </c>
      <c r="D10" s="555"/>
    </row>
    <row r="11" spans="1:4" ht="15" customHeight="1" x14ac:dyDescent="0.25">
      <c r="A11" s="45" t="s">
        <v>703</v>
      </c>
      <c r="B11" s="263" t="s">
        <v>704</v>
      </c>
      <c r="C11" s="556">
        <v>12</v>
      </c>
      <c r="D11" s="556"/>
    </row>
    <row r="12" spans="1:4" ht="15" customHeight="1" x14ac:dyDescent="0.25">
      <c r="A12" s="45" t="s">
        <v>705</v>
      </c>
      <c r="B12" s="263" t="s">
        <v>706</v>
      </c>
      <c r="C12" s="557">
        <f>'DADOS CCT'!D45</f>
        <v>45292</v>
      </c>
      <c r="D12" s="557"/>
    </row>
    <row r="13" spans="1:4" ht="29.25" customHeight="1" x14ac:dyDescent="0.25">
      <c r="A13" s="45" t="s">
        <v>707</v>
      </c>
      <c r="B13" s="315" t="s">
        <v>708</v>
      </c>
      <c r="C13" s="558" t="s">
        <v>709</v>
      </c>
      <c r="D13" s="558"/>
    </row>
    <row r="14" spans="1:4" x14ac:dyDescent="0.25">
      <c r="A14" s="130" t="s">
        <v>710</v>
      </c>
      <c r="B14" s="131" t="s">
        <v>711</v>
      </c>
      <c r="C14" s="559" t="s">
        <v>712</v>
      </c>
      <c r="D14" s="559"/>
    </row>
    <row r="15" spans="1:4" x14ac:dyDescent="0.25">
      <c r="A15" s="130" t="s">
        <v>713</v>
      </c>
      <c r="B15" s="131" t="s">
        <v>714</v>
      </c>
      <c r="C15" s="559" t="s">
        <v>897</v>
      </c>
      <c r="D15" s="559"/>
    </row>
    <row r="16" spans="1:4" x14ac:dyDescent="0.25">
      <c r="A16" s="130" t="s">
        <v>716</v>
      </c>
      <c r="B16" s="131" t="s">
        <v>717</v>
      </c>
      <c r="C16" s="559" t="str">
        <f ca="1">RIGHT(CELL("nome.arquivo",A1),LEN(CELL("nome.arquivo",A1))-SEARCH("]",CELL("nome.arquivo",A1)))</f>
        <v>5143-20 AUX.LB 5x2 DIURNO FW</v>
      </c>
      <c r="D16" s="559"/>
    </row>
    <row r="17" spans="1:4" x14ac:dyDescent="0.25">
      <c r="A17" s="130" t="s">
        <v>718</v>
      </c>
      <c r="B17" s="131" t="s">
        <v>719</v>
      </c>
      <c r="C17" s="560" t="s">
        <v>1197</v>
      </c>
      <c r="D17" s="560"/>
    </row>
    <row r="18" spans="1:4" x14ac:dyDescent="0.25">
      <c r="A18" s="130" t="s">
        <v>721</v>
      </c>
      <c r="B18" s="131" t="s">
        <v>722</v>
      </c>
      <c r="C18" s="560">
        <v>21</v>
      </c>
      <c r="D18" s="560"/>
    </row>
    <row r="19" spans="1:4" ht="15.75" customHeight="1" x14ac:dyDescent="0.25">
      <c r="A19" s="130" t="s">
        <v>723</v>
      </c>
      <c r="B19" s="131" t="s">
        <v>724</v>
      </c>
      <c r="C19" s="560">
        <f>'DADOS CCT'!D46</f>
        <v>1540.51</v>
      </c>
      <c r="D19" s="560"/>
    </row>
    <row r="20" spans="1:4" ht="15.75" customHeight="1" x14ac:dyDescent="0.25">
      <c r="A20" s="130" t="s">
        <v>725</v>
      </c>
      <c r="B20" s="132" t="s">
        <v>726</v>
      </c>
      <c r="C20" s="573">
        <f>C19/220</f>
        <v>7.0023181818181817</v>
      </c>
      <c r="D20" s="573"/>
    </row>
    <row r="21" spans="1:4" ht="15.75" customHeight="1" x14ac:dyDescent="0.25">
      <c r="A21" s="130" t="s">
        <v>727</v>
      </c>
      <c r="B21" s="132" t="s">
        <v>728</v>
      </c>
      <c r="C21" s="573">
        <f>C20*1.5</f>
        <v>10.503477272727272</v>
      </c>
      <c r="D21" s="573"/>
    </row>
    <row r="22" spans="1:4" ht="15.75" customHeight="1" x14ac:dyDescent="0.25">
      <c r="A22" s="130" t="s">
        <v>729</v>
      </c>
      <c r="B22" s="132" t="s">
        <v>730</v>
      </c>
      <c r="C22" s="573">
        <f>C20*2</f>
        <v>14.004636363636363</v>
      </c>
      <c r="D22" s="573"/>
    </row>
    <row r="23" spans="1:4" ht="15.75" customHeight="1" thickBot="1" x14ac:dyDescent="0.3">
      <c r="A23" s="133" t="s">
        <v>731</v>
      </c>
      <c r="B23" s="134" t="s">
        <v>732</v>
      </c>
      <c r="C23" s="574">
        <f>C20*0.2</f>
        <v>1.4004636363636365</v>
      </c>
      <c r="D23" s="574"/>
    </row>
    <row r="24" spans="1:4" ht="15.95" customHeight="1" thickBot="1" x14ac:dyDescent="0.3">
      <c r="A24" s="125"/>
      <c r="B24" s="42"/>
      <c r="C24" s="126"/>
      <c r="D24" s="127"/>
    </row>
    <row r="25" spans="1:4" ht="15.75" thickBot="1" x14ac:dyDescent="0.3">
      <c r="A25" s="565"/>
      <c r="B25" s="566"/>
      <c r="C25" s="567" t="str">
        <f>'DADOS CCT'!D3</f>
        <v>00 - VALOR ESTIMADO</v>
      </c>
      <c r="D25" s="568"/>
    </row>
    <row r="26" spans="1:4" ht="6" customHeight="1" thickBot="1" x14ac:dyDescent="0.3">
      <c r="A26" s="4"/>
      <c r="B26" s="1"/>
      <c r="C26" s="5"/>
      <c r="D26" s="6"/>
    </row>
    <row r="27" spans="1:4" ht="18" customHeight="1" x14ac:dyDescent="0.25">
      <c r="A27" s="569" t="s">
        <v>733</v>
      </c>
      <c r="B27" s="570"/>
      <c r="C27" s="190"/>
      <c r="D27" s="191" t="s">
        <v>734</v>
      </c>
    </row>
    <row r="28" spans="1:4" ht="15.75" customHeight="1" x14ac:dyDescent="0.25">
      <c r="A28" s="45" t="s">
        <v>735</v>
      </c>
      <c r="B28" s="46" t="s">
        <v>736</v>
      </c>
      <c r="C28" s="135">
        <v>200</v>
      </c>
      <c r="D28" s="28">
        <f>C28*C19/220</f>
        <v>1400.4636363636364</v>
      </c>
    </row>
    <row r="29" spans="1:4" ht="15.75" customHeight="1" x14ac:dyDescent="0.25">
      <c r="A29" s="45" t="s">
        <v>737</v>
      </c>
      <c r="B29" s="46" t="s">
        <v>738</v>
      </c>
      <c r="C29" s="136"/>
      <c r="D29" s="28">
        <f>D$28*C29</f>
        <v>0</v>
      </c>
    </row>
    <row r="30" spans="1:4" ht="15.75" customHeight="1" x14ac:dyDescent="0.25">
      <c r="A30" s="45" t="s">
        <v>739</v>
      </c>
      <c r="B30" s="46" t="s">
        <v>740</v>
      </c>
      <c r="C30" s="136">
        <v>0.4</v>
      </c>
      <c r="D30" s="208">
        <f>C30*C19</f>
        <v>616.20400000000006</v>
      </c>
    </row>
    <row r="31" spans="1:4" ht="15.75" customHeight="1" x14ac:dyDescent="0.25">
      <c r="A31" s="45" t="s">
        <v>741</v>
      </c>
      <c r="B31" s="46" t="s">
        <v>742</v>
      </c>
      <c r="C31" s="28"/>
      <c r="D31" s="28">
        <f>(D28/C28)*0.2*C31*(60/52.5)</f>
        <v>0</v>
      </c>
    </row>
    <row r="32" spans="1:4" ht="15.75" customHeight="1" x14ac:dyDescent="0.25">
      <c r="A32" s="45" t="s">
        <v>743</v>
      </c>
      <c r="B32" s="46" t="s">
        <v>744</v>
      </c>
      <c r="C32" s="28"/>
      <c r="D32" s="28">
        <f>(D28/C28)*1.5*C32</f>
        <v>0</v>
      </c>
    </row>
    <row r="33" spans="1:4" ht="15.75" customHeight="1" x14ac:dyDescent="0.25">
      <c r="A33" s="571" t="s">
        <v>745</v>
      </c>
      <c r="B33" s="572"/>
      <c r="C33" s="184"/>
      <c r="D33" s="185">
        <f>SUM(D28:D32)</f>
        <v>2016.6676363636366</v>
      </c>
    </row>
    <row r="34" spans="1:4" ht="15.75" customHeight="1" x14ac:dyDescent="0.25">
      <c r="A34" s="45" t="s">
        <v>746</v>
      </c>
      <c r="B34" s="46" t="s">
        <v>747</v>
      </c>
      <c r="C34" s="28"/>
      <c r="D34" s="28">
        <f>15*C34*(D28/C28)*1.5</f>
        <v>0</v>
      </c>
    </row>
    <row r="35" spans="1:4" ht="15.75" customHeight="1" x14ac:dyDescent="0.25">
      <c r="A35" s="45" t="s">
        <v>748</v>
      </c>
      <c r="B35" s="46" t="s">
        <v>749</v>
      </c>
      <c r="C35" s="139">
        <f>'DADOS CCT'!D48</f>
        <v>0</v>
      </c>
      <c r="D35" s="28">
        <f>D28*C35</f>
        <v>0</v>
      </c>
    </row>
    <row r="36" spans="1:4" ht="15.75" customHeight="1" x14ac:dyDescent="0.25">
      <c r="A36" s="45" t="s">
        <v>750</v>
      </c>
      <c r="B36" s="46" t="s">
        <v>751</v>
      </c>
      <c r="C36" s="136"/>
      <c r="D36" s="28">
        <f>D$28*C36</f>
        <v>0</v>
      </c>
    </row>
    <row r="37" spans="1:4" ht="15.75" customHeight="1" thickBot="1" x14ac:dyDescent="0.3">
      <c r="A37" s="575" t="s">
        <v>752</v>
      </c>
      <c r="B37" s="576"/>
      <c r="C37" s="188"/>
      <c r="D37" s="189">
        <f>SUM(D33:D36)</f>
        <v>2016.6676363636366</v>
      </c>
    </row>
    <row r="38" spans="1:4" ht="24" customHeight="1" x14ac:dyDescent="0.25">
      <c r="A38" s="577" t="s">
        <v>1233</v>
      </c>
      <c r="B38" s="578"/>
      <c r="C38" s="8"/>
      <c r="D38" s="127"/>
    </row>
    <row r="39" spans="1:4" ht="8.1" customHeight="1" thickBot="1" x14ac:dyDescent="0.3">
      <c r="A39" s="7"/>
      <c r="B39" s="16"/>
      <c r="C39" s="8"/>
      <c r="D39" s="127"/>
    </row>
    <row r="40" spans="1:4" ht="18" customHeight="1" x14ac:dyDescent="0.25">
      <c r="A40" s="579" t="s">
        <v>753</v>
      </c>
      <c r="B40" s="580"/>
      <c r="C40" s="142"/>
      <c r="D40" s="187"/>
    </row>
    <row r="41" spans="1:4" ht="6" customHeight="1" x14ac:dyDescent="0.25">
      <c r="A41" s="125"/>
      <c r="B41" s="42"/>
      <c r="C41" s="126"/>
      <c r="D41" s="127"/>
    </row>
    <row r="42" spans="1:4" ht="15.75" customHeight="1" x14ac:dyDescent="0.25">
      <c r="A42" s="581" t="s">
        <v>754</v>
      </c>
      <c r="B42" s="572"/>
      <c r="C42" s="182"/>
      <c r="D42" s="183" t="s">
        <v>734</v>
      </c>
    </row>
    <row r="43" spans="1:4" ht="15" customHeight="1" x14ac:dyDescent="0.25">
      <c r="A43" s="45" t="s">
        <v>755</v>
      </c>
      <c r="B43" s="46" t="s">
        <v>756</v>
      </c>
      <c r="C43" s="136">
        <v>8.3299999999999999E-2</v>
      </c>
      <c r="D43" s="28">
        <f>D$33*C43</f>
        <v>167.98841410909091</v>
      </c>
    </row>
    <row r="44" spans="1:4" ht="15" customHeight="1" x14ac:dyDescent="0.25">
      <c r="A44" s="45" t="s">
        <v>757</v>
      </c>
      <c r="B44" s="46" t="s">
        <v>758</v>
      </c>
      <c r="C44" s="143">
        <v>3.0249999999999999E-2</v>
      </c>
      <c r="D44" s="28">
        <f>D$33*C44</f>
        <v>61.004196000000007</v>
      </c>
    </row>
    <row r="45" spans="1:4" ht="15.75" customHeight="1" x14ac:dyDescent="0.25">
      <c r="A45" s="582" t="s">
        <v>752</v>
      </c>
      <c r="B45" s="572"/>
      <c r="C45" s="186"/>
      <c r="D45" s="185">
        <f>SUM(D43:D44)</f>
        <v>228.99261010909092</v>
      </c>
    </row>
    <row r="46" spans="1:4" ht="37.5" customHeight="1" x14ac:dyDescent="0.25">
      <c r="A46" s="583" t="s">
        <v>759</v>
      </c>
      <c r="B46" s="584"/>
      <c r="C46" s="141"/>
      <c r="D46" s="41"/>
    </row>
    <row r="47" spans="1:4" ht="8.1" customHeight="1" x14ac:dyDescent="0.25">
      <c r="A47" s="125"/>
      <c r="B47" s="33"/>
      <c r="C47" s="126"/>
      <c r="D47" s="127"/>
    </row>
    <row r="48" spans="1:4" ht="15.75" customHeight="1" x14ac:dyDescent="0.25">
      <c r="A48" s="581" t="s">
        <v>760</v>
      </c>
      <c r="B48" s="572"/>
      <c r="C48" s="182"/>
      <c r="D48" s="183" t="s">
        <v>734</v>
      </c>
    </row>
    <row r="49" spans="1:4" ht="15" customHeight="1" x14ac:dyDescent="0.25">
      <c r="A49" s="45" t="s">
        <v>761</v>
      </c>
      <c r="B49" s="46" t="s">
        <v>762</v>
      </c>
      <c r="C49" s="136">
        <v>0.2</v>
      </c>
      <c r="D49" s="28">
        <f t="shared" ref="D49:D57" si="0">(D$33+D$45)*C49</f>
        <v>449.13204929454554</v>
      </c>
    </row>
    <row r="50" spans="1:4" ht="15" customHeight="1" x14ac:dyDescent="0.25">
      <c r="A50" s="45" t="s">
        <v>763</v>
      </c>
      <c r="B50" s="46" t="s">
        <v>764</v>
      </c>
      <c r="C50" s="136">
        <v>2.5000000000000001E-2</v>
      </c>
      <c r="D50" s="28">
        <f t="shared" si="0"/>
        <v>56.141506161818192</v>
      </c>
    </row>
    <row r="51" spans="1:4" ht="15" customHeight="1" x14ac:dyDescent="0.25">
      <c r="A51" s="45" t="s">
        <v>765</v>
      </c>
      <c r="B51" s="46" t="s">
        <v>766</v>
      </c>
      <c r="C51" s="144">
        <f>'DADOS CCT'!D$58*'DADOS CCT'!D$59</f>
        <v>0.06</v>
      </c>
      <c r="D51" s="28">
        <f t="shared" si="0"/>
        <v>134.73961478836364</v>
      </c>
    </row>
    <row r="52" spans="1:4" ht="15" customHeight="1" x14ac:dyDescent="0.25">
      <c r="A52" s="45" t="s">
        <v>767</v>
      </c>
      <c r="B52" s="46" t="s">
        <v>768</v>
      </c>
      <c r="C52" s="136">
        <v>1.4999999999999999E-2</v>
      </c>
      <c r="D52" s="28">
        <f t="shared" si="0"/>
        <v>33.68490369709091</v>
      </c>
    </row>
    <row r="53" spans="1:4" ht="15" customHeight="1" x14ac:dyDescent="0.25">
      <c r="A53" s="45" t="s">
        <v>769</v>
      </c>
      <c r="B53" s="46" t="s">
        <v>770</v>
      </c>
      <c r="C53" s="136">
        <v>0.01</v>
      </c>
      <c r="D53" s="28">
        <f t="shared" si="0"/>
        <v>22.456602464727276</v>
      </c>
    </row>
    <row r="54" spans="1:4" ht="15" customHeight="1" x14ac:dyDescent="0.25">
      <c r="A54" s="45" t="s">
        <v>771</v>
      </c>
      <c r="B54" s="46" t="s">
        <v>772</v>
      </c>
      <c r="C54" s="136">
        <v>6.0000000000000001E-3</v>
      </c>
      <c r="D54" s="28">
        <f t="shared" si="0"/>
        <v>13.473961478836365</v>
      </c>
    </row>
    <row r="55" spans="1:4" ht="15" customHeight="1" x14ac:dyDescent="0.25">
      <c r="A55" s="45" t="s">
        <v>773</v>
      </c>
      <c r="B55" s="46" t="s">
        <v>774</v>
      </c>
      <c r="C55" s="136">
        <v>2E-3</v>
      </c>
      <c r="D55" s="28">
        <f t="shared" si="0"/>
        <v>4.4913204929454551</v>
      </c>
    </row>
    <row r="56" spans="1:4" ht="15" customHeight="1" x14ac:dyDescent="0.25">
      <c r="A56" s="45" t="s">
        <v>775</v>
      </c>
      <c r="B56" s="46" t="s">
        <v>776</v>
      </c>
      <c r="C56" s="136">
        <v>0.08</v>
      </c>
      <c r="D56" s="28">
        <f t="shared" si="0"/>
        <v>179.6528197178182</v>
      </c>
    </row>
    <row r="57" spans="1:4" ht="15" customHeight="1" x14ac:dyDescent="0.25">
      <c r="A57" s="45" t="s">
        <v>777</v>
      </c>
      <c r="B57" s="46" t="s">
        <v>778</v>
      </c>
      <c r="C57" s="136"/>
      <c r="D57" s="28">
        <f t="shared" si="0"/>
        <v>0</v>
      </c>
    </row>
    <row r="58" spans="1:4" ht="15.75" customHeight="1" x14ac:dyDescent="0.25">
      <c r="A58" s="585" t="s">
        <v>752</v>
      </c>
      <c r="B58" s="412"/>
      <c r="C58" s="137">
        <f>SUM(C49:C50,C51:C57)</f>
        <v>0.39800000000000008</v>
      </c>
      <c r="D58" s="138">
        <f>SUM(D49:D57)</f>
        <v>893.77277809614566</v>
      </c>
    </row>
    <row r="59" spans="1:4" ht="20.25" customHeight="1" x14ac:dyDescent="0.25">
      <c r="A59" s="583" t="s">
        <v>779</v>
      </c>
      <c r="B59" s="586"/>
      <c r="C59" s="141"/>
      <c r="D59" s="41"/>
    </row>
    <row r="60" spans="1:4" ht="8.1" customHeight="1" x14ac:dyDescent="0.25">
      <c r="A60" s="125"/>
      <c r="B60" s="33"/>
      <c r="C60" s="140"/>
      <c r="D60" s="127"/>
    </row>
    <row r="61" spans="1:4" ht="15.75" customHeight="1" x14ac:dyDescent="0.25">
      <c r="A61" s="581" t="s">
        <v>780</v>
      </c>
      <c r="B61" s="572"/>
      <c r="C61" s="182"/>
      <c r="D61" s="183" t="s">
        <v>734</v>
      </c>
    </row>
    <row r="62" spans="1:4" ht="15.75" customHeight="1" x14ac:dyDescent="0.25">
      <c r="A62" s="45" t="s">
        <v>781</v>
      </c>
      <c r="B62" s="46" t="s">
        <v>782</v>
      </c>
      <c r="C62" s="145"/>
      <c r="D62" s="138">
        <f>((C63*C64*C65)-D66)*C67</f>
        <v>71.372181818181829</v>
      </c>
    </row>
    <row r="63" spans="1:4" ht="15.75" customHeight="1" x14ac:dyDescent="0.25">
      <c r="A63" s="45" t="s">
        <v>783</v>
      </c>
      <c r="B63" s="46" t="s">
        <v>784</v>
      </c>
      <c r="C63" s="146">
        <f>'DADOS CCT'!D49</f>
        <v>3.7</v>
      </c>
      <c r="D63" s="28">
        <v>0</v>
      </c>
    </row>
    <row r="64" spans="1:4" ht="15.75" customHeight="1" x14ac:dyDescent="0.25">
      <c r="A64" s="45" t="s">
        <v>785</v>
      </c>
      <c r="B64" s="46" t="s">
        <v>786</v>
      </c>
      <c r="C64" s="28">
        <v>2</v>
      </c>
      <c r="D64" s="28">
        <v>0</v>
      </c>
    </row>
    <row r="65" spans="1:4" ht="15.75" customHeight="1" x14ac:dyDescent="0.25">
      <c r="A65" s="45" t="s">
        <v>787</v>
      </c>
      <c r="B65" s="46" t="s">
        <v>788</v>
      </c>
      <c r="C65" s="147">
        <f>C$18</f>
        <v>21</v>
      </c>
      <c r="D65" s="28">
        <v>0</v>
      </c>
    </row>
    <row r="66" spans="1:4" ht="15.75" customHeight="1" x14ac:dyDescent="0.25">
      <c r="A66" s="45" t="s">
        <v>789</v>
      </c>
      <c r="B66" s="46" t="s">
        <v>790</v>
      </c>
      <c r="C66" s="136">
        <v>0.06</v>
      </c>
      <c r="D66" s="28">
        <f>C66*D$28</f>
        <v>84.027818181818176</v>
      </c>
    </row>
    <row r="67" spans="1:4" ht="15.75" customHeight="1" x14ac:dyDescent="0.25">
      <c r="A67" s="45" t="s">
        <v>791</v>
      </c>
      <c r="B67" s="46" t="s">
        <v>792</v>
      </c>
      <c r="C67" s="144">
        <f>'DADOS CCT'!D50</f>
        <v>1</v>
      </c>
      <c r="D67" s="28">
        <v>0</v>
      </c>
    </row>
    <row r="68" spans="1:4" ht="15.75" customHeight="1" x14ac:dyDescent="0.25">
      <c r="A68" s="45" t="s">
        <v>793</v>
      </c>
      <c r="B68" s="46" t="s">
        <v>794</v>
      </c>
      <c r="C68" s="136"/>
      <c r="D68" s="138">
        <f>(C69*C70)-D71</f>
        <v>402.79679999999996</v>
      </c>
    </row>
    <row r="69" spans="1:4" ht="15.75" customHeight="1" x14ac:dyDescent="0.25">
      <c r="A69" s="45" t="s">
        <v>795</v>
      </c>
      <c r="B69" s="46" t="s">
        <v>796</v>
      </c>
      <c r="C69" s="146">
        <f>'DADOS CCT'!D51</f>
        <v>23.68</v>
      </c>
      <c r="D69" s="28">
        <v>0</v>
      </c>
    </row>
    <row r="70" spans="1:4" ht="15.75" customHeight="1" x14ac:dyDescent="0.25">
      <c r="A70" s="45" t="s">
        <v>797</v>
      </c>
      <c r="B70" s="46" t="s">
        <v>798</v>
      </c>
      <c r="C70" s="147">
        <f>C$18</f>
        <v>21</v>
      </c>
      <c r="D70" s="28">
        <v>0</v>
      </c>
    </row>
    <row r="71" spans="1:4" ht="15.75" customHeight="1" x14ac:dyDescent="0.25">
      <c r="A71" s="45" t="s">
        <v>799</v>
      </c>
      <c r="B71" s="46" t="s">
        <v>800</v>
      </c>
      <c r="C71" s="144">
        <f>'DADOS CCT'!D53</f>
        <v>0.19</v>
      </c>
      <c r="D71" s="28">
        <f>(C69*C70)*C71</f>
        <v>94.483199999999997</v>
      </c>
    </row>
    <row r="72" spans="1:4" ht="15.75" customHeight="1" x14ac:dyDescent="0.25">
      <c r="A72" s="45" t="s">
        <v>801</v>
      </c>
      <c r="B72" s="46" t="s">
        <v>802</v>
      </c>
      <c r="C72" s="136"/>
      <c r="D72" s="208">
        <f>'DADOS CCT'!D$54</f>
        <v>19.420000000000002</v>
      </c>
    </row>
    <row r="73" spans="1:4" ht="15.75" customHeight="1" x14ac:dyDescent="0.25">
      <c r="A73" s="45" t="s">
        <v>803</v>
      </c>
      <c r="B73" s="46" t="s">
        <v>804</v>
      </c>
      <c r="C73" s="136"/>
      <c r="D73" s="28">
        <v>0</v>
      </c>
    </row>
    <row r="74" spans="1:4" ht="15.75" customHeight="1" x14ac:dyDescent="0.25">
      <c r="A74" s="45" t="s">
        <v>805</v>
      </c>
      <c r="B74" s="46" t="s">
        <v>778</v>
      </c>
      <c r="C74" s="136"/>
      <c r="D74" s="28">
        <v>0</v>
      </c>
    </row>
    <row r="75" spans="1:4" ht="15.75" customHeight="1" x14ac:dyDescent="0.25">
      <c r="A75" s="582" t="s">
        <v>752</v>
      </c>
      <c r="B75" s="572"/>
      <c r="C75" s="184"/>
      <c r="D75" s="185">
        <f>SUM(D62,D68,D72:D74)</f>
        <v>493.58898181818182</v>
      </c>
    </row>
    <row r="76" spans="1:4" ht="38.25" customHeight="1" x14ac:dyDescent="0.25">
      <c r="A76" s="583" t="s">
        <v>1102</v>
      </c>
      <c r="B76" s="586"/>
      <c r="C76" s="40"/>
      <c r="D76" s="41"/>
    </row>
    <row r="77" spans="1:4" ht="8.1" customHeight="1" x14ac:dyDescent="0.25">
      <c r="A77" s="125"/>
      <c r="B77" s="33"/>
      <c r="C77" s="140"/>
      <c r="D77" s="127"/>
    </row>
    <row r="78" spans="1:4" ht="15.75" customHeight="1" x14ac:dyDescent="0.25">
      <c r="A78" s="581" t="s">
        <v>806</v>
      </c>
      <c r="B78" s="572"/>
      <c r="C78" s="182"/>
      <c r="D78" s="183" t="s">
        <v>734</v>
      </c>
    </row>
    <row r="79" spans="1:4" ht="15.75" customHeight="1" x14ac:dyDescent="0.25">
      <c r="A79" s="45" t="s">
        <v>807</v>
      </c>
      <c r="B79" s="46" t="s">
        <v>808</v>
      </c>
      <c r="C79" s="136"/>
      <c r="D79" s="28">
        <f>D45</f>
        <v>228.99261010909092</v>
      </c>
    </row>
    <row r="80" spans="1:4" ht="15.75" customHeight="1" x14ac:dyDescent="0.25">
      <c r="A80" s="45" t="s">
        <v>809</v>
      </c>
      <c r="B80" s="46" t="s">
        <v>810</v>
      </c>
      <c r="C80" s="28"/>
      <c r="D80" s="28">
        <f>D58</f>
        <v>893.77277809614566</v>
      </c>
    </row>
    <row r="81" spans="1:4" ht="15.75" customHeight="1" x14ac:dyDescent="0.25">
      <c r="A81" s="45" t="s">
        <v>811</v>
      </c>
      <c r="B81" s="46" t="s">
        <v>812</v>
      </c>
      <c r="C81" s="28"/>
      <c r="D81" s="28">
        <f>D75</f>
        <v>493.58898181818182</v>
      </c>
    </row>
    <row r="82" spans="1:4" ht="15.75" customHeight="1" thickBot="1" x14ac:dyDescent="0.3">
      <c r="A82" s="589" t="s">
        <v>752</v>
      </c>
      <c r="B82" s="590"/>
      <c r="C82" s="180"/>
      <c r="D82" s="181">
        <f>SUM(D79:D81)</f>
        <v>1616.3543700234184</v>
      </c>
    </row>
    <row r="83" spans="1:4" ht="8.1" customHeight="1" x14ac:dyDescent="0.25">
      <c r="A83" s="148"/>
      <c r="B83" s="149"/>
      <c r="C83" s="40"/>
      <c r="D83" s="41"/>
    </row>
    <row r="84" spans="1:4" ht="8.1" customHeight="1" thickBot="1" x14ac:dyDescent="0.3">
      <c r="A84" s="4"/>
      <c r="B84" s="1"/>
      <c r="C84" s="22"/>
      <c r="D84" s="6"/>
    </row>
    <row r="85" spans="1:4" ht="18" customHeight="1" x14ac:dyDescent="0.25">
      <c r="A85" s="591" t="s">
        <v>813</v>
      </c>
      <c r="B85" s="592"/>
      <c r="C85" s="12"/>
      <c r="D85" s="150" t="s">
        <v>734</v>
      </c>
    </row>
    <row r="86" spans="1:4" ht="15.75" customHeight="1" x14ac:dyDescent="0.25">
      <c r="A86" s="209" t="s">
        <v>814</v>
      </c>
      <c r="B86" s="210" t="s">
        <v>815</v>
      </c>
      <c r="C86" s="211">
        <v>0.05</v>
      </c>
      <c r="D86" s="212">
        <f>(D$33/$C$11)*C86*C89</f>
        <v>8.4027818181818201</v>
      </c>
    </row>
    <row r="87" spans="1:4" ht="15.75" customHeight="1" x14ac:dyDescent="0.25">
      <c r="A87" s="209" t="s">
        <v>816</v>
      </c>
      <c r="B87" s="210" t="s">
        <v>817</v>
      </c>
      <c r="C87" s="211">
        <f>C56</f>
        <v>0.08</v>
      </c>
      <c r="D87" s="212">
        <f>D86*C87</f>
        <v>0.67222254545454563</v>
      </c>
    </row>
    <row r="88" spans="1:4" ht="15.75" customHeight="1" x14ac:dyDescent="0.25">
      <c r="A88" s="209" t="s">
        <v>818</v>
      </c>
      <c r="B88" s="210" t="s">
        <v>819</v>
      </c>
      <c r="C88" s="211">
        <v>0.04</v>
      </c>
      <c r="D88" s="212">
        <f>D$33*C88</f>
        <v>80.666705454545465</v>
      </c>
    </row>
    <row r="89" spans="1:4" ht="15.75" customHeight="1" x14ac:dyDescent="0.25">
      <c r="A89" s="213" t="s">
        <v>820</v>
      </c>
      <c r="B89" s="214" t="s">
        <v>821</v>
      </c>
      <c r="C89" s="215">
        <v>1</v>
      </c>
      <c r="D89" s="216">
        <v>0</v>
      </c>
    </row>
    <row r="90" spans="1:4" ht="15.75" customHeight="1" x14ac:dyDescent="0.25">
      <c r="A90" s="18" t="s">
        <v>822</v>
      </c>
      <c r="B90" s="13" t="s">
        <v>823</v>
      </c>
      <c r="C90" s="15">
        <v>1</v>
      </c>
      <c r="D90" s="14">
        <f>(((D$33/30)*7)/12)*C90*C93</f>
        <v>39.212981818181817</v>
      </c>
    </row>
    <row r="91" spans="1:4" ht="15.75" customHeight="1" x14ac:dyDescent="0.25">
      <c r="A91" s="18" t="s">
        <v>820</v>
      </c>
      <c r="B91" s="13" t="s">
        <v>824</v>
      </c>
      <c r="C91" s="15">
        <f>C58</f>
        <v>0.39800000000000008</v>
      </c>
      <c r="D91" s="14">
        <f>D90*C91</f>
        <v>15.606766763636365</v>
      </c>
    </row>
    <row r="92" spans="1:4" ht="15.75" customHeight="1" x14ac:dyDescent="0.25">
      <c r="A92" s="18" t="s">
        <v>822</v>
      </c>
      <c r="B92" s="13" t="s">
        <v>825</v>
      </c>
      <c r="C92" s="17">
        <v>3.8080000000000003E-2</v>
      </c>
      <c r="D92" s="14">
        <f>D$33*C92</f>
        <v>76.794703592727288</v>
      </c>
    </row>
    <row r="93" spans="1:4" ht="15.75" customHeight="1" x14ac:dyDescent="0.25">
      <c r="A93" s="66" t="s">
        <v>826</v>
      </c>
      <c r="B93" s="34" t="s">
        <v>827</v>
      </c>
      <c r="C93" s="67">
        <v>1</v>
      </c>
      <c r="D93" s="35">
        <v>0</v>
      </c>
    </row>
    <row r="94" spans="1:4" ht="15.75" customHeight="1" thickBot="1" x14ac:dyDescent="0.3">
      <c r="A94" s="593" t="s">
        <v>752</v>
      </c>
      <c r="B94" s="594"/>
      <c r="C94" s="172"/>
      <c r="D94" s="173">
        <f>SUM(D86:D88,D90:D92)</f>
        <v>221.35616199272727</v>
      </c>
    </row>
    <row r="95" spans="1:4" ht="50.25" customHeight="1" x14ac:dyDescent="0.25">
      <c r="A95" s="577" t="s">
        <v>828</v>
      </c>
      <c r="B95" s="578"/>
      <c r="C95" s="3"/>
      <c r="D95" s="41"/>
    </row>
    <row r="96" spans="1:4" ht="15.95" customHeight="1" thickBot="1" x14ac:dyDescent="0.3">
      <c r="A96" s="4"/>
      <c r="B96" s="1"/>
      <c r="C96" s="22"/>
      <c r="D96" s="6"/>
    </row>
    <row r="97" spans="1:4" ht="18" customHeight="1" x14ac:dyDescent="0.25">
      <c r="A97" s="591" t="s">
        <v>829</v>
      </c>
      <c r="B97" s="592"/>
      <c r="C97" s="12"/>
      <c r="D97" s="150" t="s">
        <v>734</v>
      </c>
    </row>
    <row r="98" spans="1:4" ht="8.1" customHeight="1" x14ac:dyDescent="0.25">
      <c r="A98" s="7"/>
      <c r="C98" s="8"/>
      <c r="D98" s="127"/>
    </row>
    <row r="99" spans="1:4" ht="15.75" customHeight="1" x14ac:dyDescent="0.25">
      <c r="A99" s="587" t="s">
        <v>830</v>
      </c>
      <c r="B99" s="588"/>
      <c r="C99" s="151"/>
      <c r="D99" s="152">
        <f>SUM(D33,D45,D102)</f>
        <v>2428.6728344727276</v>
      </c>
    </row>
    <row r="100" spans="1:4" ht="8.1" customHeight="1" x14ac:dyDescent="0.25">
      <c r="A100" s="7"/>
      <c r="C100" s="8"/>
      <c r="D100" s="127"/>
    </row>
    <row r="101" spans="1:4" ht="15.75" customHeight="1" x14ac:dyDescent="0.25">
      <c r="A101" s="587" t="s">
        <v>831</v>
      </c>
      <c r="B101" s="588"/>
      <c r="C101" s="151"/>
      <c r="D101" s="152" t="s">
        <v>734</v>
      </c>
    </row>
    <row r="102" spans="1:4" ht="15.75" customHeight="1" x14ac:dyDescent="0.25">
      <c r="A102" s="18" t="s">
        <v>832</v>
      </c>
      <c r="B102" s="13" t="s">
        <v>833</v>
      </c>
      <c r="C102" s="17">
        <v>9.0749999999999997E-2</v>
      </c>
      <c r="D102" s="14">
        <f>D$33*C102</f>
        <v>183.01258800000002</v>
      </c>
    </row>
    <row r="103" spans="1:4" ht="15.75" customHeight="1" x14ac:dyDescent="0.25">
      <c r="A103" s="18" t="s">
        <v>834</v>
      </c>
      <c r="B103" s="13" t="s">
        <v>835</v>
      </c>
      <c r="C103" s="14">
        <v>1</v>
      </c>
      <c r="D103" s="14">
        <f>((D99/30)*C103)/12</f>
        <v>6.7463134290909101</v>
      </c>
    </row>
    <row r="104" spans="1:4" ht="15.75" customHeight="1" x14ac:dyDescent="0.25">
      <c r="A104" s="18" t="s">
        <v>836</v>
      </c>
      <c r="B104" s="13" t="s">
        <v>837</v>
      </c>
      <c r="C104" s="15">
        <v>1.4999999999999999E-2</v>
      </c>
      <c r="D104" s="14">
        <f>((D99/30)*5/12)*C104</f>
        <v>0.50597350718181822</v>
      </c>
    </row>
    <row r="105" spans="1:4" ht="15.75" customHeight="1" x14ac:dyDescent="0.25">
      <c r="A105" s="18" t="s">
        <v>838</v>
      </c>
      <c r="B105" s="13" t="s">
        <v>839</v>
      </c>
      <c r="C105" s="15">
        <v>7.7999999999999996E-3</v>
      </c>
      <c r="D105" s="14">
        <f>((D99/30)*15/12)*C105</f>
        <v>0.78931867120363641</v>
      </c>
    </row>
    <row r="106" spans="1:4" ht="15.75" customHeight="1" x14ac:dyDescent="0.25">
      <c r="A106" s="18" t="s">
        <v>840</v>
      </c>
      <c r="B106" s="13" t="s">
        <v>841</v>
      </c>
      <c r="C106" s="15">
        <v>0.02</v>
      </c>
      <c r="D106" s="14">
        <f>(((D33+(D33/3))/12)*(4/12))*C106</f>
        <v>1.4938278787878789</v>
      </c>
    </row>
    <row r="107" spans="1:4" ht="15.75" customHeight="1" x14ac:dyDescent="0.25">
      <c r="A107" s="18" t="s">
        <v>842</v>
      </c>
      <c r="B107" s="13" t="s">
        <v>843</v>
      </c>
      <c r="C107" s="14">
        <v>3</v>
      </c>
      <c r="D107" s="14">
        <f>((D99/30)*C107)/12</f>
        <v>20.23894028727273</v>
      </c>
    </row>
    <row r="108" spans="1:4" ht="15.75" customHeight="1" x14ac:dyDescent="0.25">
      <c r="A108" s="18" t="s">
        <v>844</v>
      </c>
      <c r="B108" s="13" t="s">
        <v>845</v>
      </c>
      <c r="C108" s="14"/>
      <c r="D108" s="14">
        <f>((D99/30)*C108)/12</f>
        <v>0</v>
      </c>
    </row>
    <row r="109" spans="1:4" ht="15.75" customHeight="1" x14ac:dyDescent="0.25">
      <c r="A109" s="595" t="s">
        <v>752</v>
      </c>
      <c r="B109" s="588"/>
      <c r="C109" s="175"/>
      <c r="D109" s="44">
        <f>SUM(D102:D107)</f>
        <v>212.78696177353697</v>
      </c>
    </row>
    <row r="110" spans="1:4" ht="15.75" customHeight="1" x14ac:dyDescent="0.25">
      <c r="A110" s="18" t="s">
        <v>846</v>
      </c>
      <c r="B110" s="13" t="s">
        <v>847</v>
      </c>
      <c r="C110" s="15">
        <f>C58</f>
        <v>0.39800000000000008</v>
      </c>
      <c r="D110" s="14">
        <f>D109*C110</f>
        <v>84.689210785867729</v>
      </c>
    </row>
    <row r="111" spans="1:4" ht="15.75" customHeight="1" x14ac:dyDescent="0.25">
      <c r="A111" s="596" t="s">
        <v>752</v>
      </c>
      <c r="B111" s="588"/>
      <c r="C111" s="179"/>
      <c r="D111" s="178">
        <f>SUM(D109:D110)</f>
        <v>297.47617255940469</v>
      </c>
    </row>
    <row r="112" spans="1:4" ht="61.5" customHeight="1" x14ac:dyDescent="0.25">
      <c r="A112" s="577" t="s">
        <v>848</v>
      </c>
      <c r="B112" s="578"/>
      <c r="C112" s="3"/>
      <c r="D112" s="41"/>
    </row>
    <row r="113" spans="1:4" ht="8.1" customHeight="1" x14ac:dyDescent="0.25">
      <c r="A113" s="125"/>
      <c r="B113" s="42"/>
      <c r="C113" s="140"/>
      <c r="D113" s="127"/>
    </row>
    <row r="114" spans="1:4" ht="15.75" customHeight="1" x14ac:dyDescent="0.25">
      <c r="A114" s="587" t="s">
        <v>849</v>
      </c>
      <c r="B114" s="588"/>
      <c r="C114" s="151"/>
      <c r="D114" s="152" t="s">
        <v>734</v>
      </c>
    </row>
    <row r="115" spans="1:4" ht="15.75" customHeight="1" x14ac:dyDescent="0.25">
      <c r="A115" s="18" t="s">
        <v>850</v>
      </c>
      <c r="B115" s="13" t="s">
        <v>851</v>
      </c>
      <c r="C115" s="14">
        <v>0</v>
      </c>
      <c r="D115" s="14">
        <f>((D$37+D$82)/C$28)*C115*C$18</f>
        <v>0</v>
      </c>
    </row>
    <row r="116" spans="1:4" ht="15.75" customHeight="1" x14ac:dyDescent="0.25">
      <c r="A116" s="18" t="s">
        <v>852</v>
      </c>
      <c r="B116" s="13" t="s">
        <v>853</v>
      </c>
      <c r="C116" s="15">
        <f>C58</f>
        <v>0.39800000000000008</v>
      </c>
      <c r="D116" s="14">
        <f>D115*C116</f>
        <v>0</v>
      </c>
    </row>
    <row r="117" spans="1:4" ht="15.75" customHeight="1" x14ac:dyDescent="0.25">
      <c r="A117" s="596" t="s">
        <v>752</v>
      </c>
      <c r="B117" s="588"/>
      <c r="C117" s="177"/>
      <c r="D117" s="178">
        <f>SUM(D115:D116)</f>
        <v>0</v>
      </c>
    </row>
    <row r="118" spans="1:4" ht="8.1" customHeight="1" x14ac:dyDescent="0.25">
      <c r="A118" s="577"/>
      <c r="B118" s="578"/>
      <c r="C118" s="3"/>
      <c r="D118" s="41"/>
    </row>
    <row r="119" spans="1:4" ht="8.1" customHeight="1" x14ac:dyDescent="0.25">
      <c r="A119" s="7"/>
      <c r="C119" s="20"/>
      <c r="D119" s="127"/>
    </row>
    <row r="120" spans="1:4" ht="15.75" customHeight="1" x14ac:dyDescent="0.25">
      <c r="A120" s="587" t="s">
        <v>854</v>
      </c>
      <c r="B120" s="588"/>
      <c r="C120" s="151"/>
      <c r="D120" s="152" t="s">
        <v>734</v>
      </c>
    </row>
    <row r="121" spans="1:4" ht="15.75" customHeight="1" x14ac:dyDescent="0.25">
      <c r="A121" s="18" t="s">
        <v>855</v>
      </c>
      <c r="B121" s="13" t="s">
        <v>856</v>
      </c>
      <c r="C121" s="15"/>
      <c r="D121" s="14">
        <f>D111</f>
        <v>297.47617255940469</v>
      </c>
    </row>
    <row r="122" spans="1:4" ht="15.75" customHeight="1" x14ac:dyDescent="0.25">
      <c r="A122" s="18" t="s">
        <v>857</v>
      </c>
      <c r="B122" s="13" t="s">
        <v>858</v>
      </c>
      <c r="C122" s="14"/>
      <c r="D122" s="14">
        <f>D117</f>
        <v>0</v>
      </c>
    </row>
    <row r="123" spans="1:4" ht="15.75" customHeight="1" thickBot="1" x14ac:dyDescent="0.3">
      <c r="A123" s="593" t="s">
        <v>752</v>
      </c>
      <c r="B123" s="594"/>
      <c r="C123" s="172"/>
      <c r="D123" s="173">
        <f>SUM(D121:D122)</f>
        <v>297.47617255940469</v>
      </c>
    </row>
    <row r="124" spans="1:4" ht="8.1" customHeight="1" x14ac:dyDescent="0.25">
      <c r="A124" s="153"/>
      <c r="B124" s="154"/>
      <c r="C124" s="155"/>
      <c r="D124" s="156"/>
    </row>
    <row r="125" spans="1:4" ht="8.1" customHeight="1" thickBot="1" x14ac:dyDescent="0.3">
      <c r="A125" s="125"/>
      <c r="B125" s="42"/>
      <c r="C125" s="140"/>
      <c r="D125" s="127"/>
    </row>
    <row r="126" spans="1:4" ht="18" customHeight="1" x14ac:dyDescent="0.25">
      <c r="A126" s="591" t="s">
        <v>859</v>
      </c>
      <c r="B126" s="592"/>
      <c r="C126" s="12"/>
      <c r="D126" s="150" t="s">
        <v>734</v>
      </c>
    </row>
    <row r="127" spans="1:4" ht="15.75" customHeight="1" x14ac:dyDescent="0.25">
      <c r="A127" s="174" t="s">
        <v>860</v>
      </c>
      <c r="B127" s="175" t="s">
        <v>861</v>
      </c>
      <c r="C127" s="176"/>
      <c r="D127" s="44">
        <f>tbUNIFORMESL[[#Totals],[VL. MENSAL]]</f>
        <v>167.72833333333332</v>
      </c>
    </row>
    <row r="128" spans="1:4" ht="15.75" customHeight="1" x14ac:dyDescent="0.25">
      <c r="A128" s="174" t="s">
        <v>862</v>
      </c>
      <c r="B128" s="175" t="s">
        <v>863</v>
      </c>
      <c r="C128" s="176"/>
      <c r="D128" s="44">
        <v>0</v>
      </c>
    </row>
    <row r="129" spans="1:4" ht="15.75" customHeight="1" x14ac:dyDescent="0.25">
      <c r="A129" s="174" t="s">
        <v>864</v>
      </c>
      <c r="B129" s="175" t="s">
        <v>865</v>
      </c>
      <c r="C129" s="176"/>
      <c r="D129" s="44">
        <v>0</v>
      </c>
    </row>
    <row r="130" spans="1:4" ht="15.75" customHeight="1" x14ac:dyDescent="0.25">
      <c r="A130" s="174" t="s">
        <v>866</v>
      </c>
      <c r="B130" s="175" t="s">
        <v>867</v>
      </c>
      <c r="C130" s="176"/>
      <c r="D130" s="44">
        <v>0</v>
      </c>
    </row>
    <row r="131" spans="1:4" ht="15.75" customHeight="1" thickBot="1" x14ac:dyDescent="0.3">
      <c r="A131" s="593" t="s">
        <v>752</v>
      </c>
      <c r="B131" s="594"/>
      <c r="C131" s="172"/>
      <c r="D131" s="173">
        <f>SUM(D127:D130)</f>
        <v>167.72833333333332</v>
      </c>
    </row>
    <row r="132" spans="1:4" ht="15.95" customHeight="1" thickBot="1" x14ac:dyDescent="0.3">
      <c r="A132" s="4"/>
      <c r="B132" s="1"/>
      <c r="C132" s="22"/>
      <c r="D132" s="6"/>
    </row>
    <row r="133" spans="1:4" ht="18" customHeight="1" x14ac:dyDescent="0.25">
      <c r="A133" s="591" t="s">
        <v>868</v>
      </c>
      <c r="B133" s="592"/>
      <c r="C133" s="12"/>
      <c r="D133" s="150" t="s">
        <v>734</v>
      </c>
    </row>
    <row r="134" spans="1:4" ht="8.1" customHeight="1" x14ac:dyDescent="0.25">
      <c r="A134" s="7"/>
      <c r="C134" s="8"/>
      <c r="D134" s="127"/>
    </row>
    <row r="135" spans="1:4" ht="15.75" customHeight="1" x14ac:dyDescent="0.25">
      <c r="A135" s="587" t="s">
        <v>869</v>
      </c>
      <c r="B135" s="588"/>
      <c r="C135" s="151"/>
      <c r="D135" s="152">
        <f>SUM(D37,D82,D94,D123,D131)</f>
        <v>4319.5826742725203</v>
      </c>
    </row>
    <row r="136" spans="1:4" ht="8.1" customHeight="1" x14ac:dyDescent="0.25">
      <c r="A136" s="7"/>
      <c r="C136" s="8"/>
      <c r="D136" s="127"/>
    </row>
    <row r="137" spans="1:4" ht="15.75" customHeight="1" x14ac:dyDescent="0.25">
      <c r="A137" s="66" t="s">
        <v>870</v>
      </c>
      <c r="B137" s="34" t="s">
        <v>871</v>
      </c>
      <c r="C137" s="67">
        <v>0.05</v>
      </c>
      <c r="D137" s="35">
        <f>D$135*C137</f>
        <v>215.97913371362603</v>
      </c>
    </row>
    <row r="138" spans="1:4" ht="15.75" customHeight="1" x14ac:dyDescent="0.25">
      <c r="A138" s="66" t="s">
        <v>872</v>
      </c>
      <c r="B138" s="34" t="s">
        <v>873</v>
      </c>
      <c r="C138" s="67">
        <v>0.1</v>
      </c>
      <c r="D138" s="35">
        <f>SUM(D135,D137)*C138</f>
        <v>453.55618079861461</v>
      </c>
    </row>
    <row r="139" spans="1:4" ht="8.1" customHeight="1" x14ac:dyDescent="0.25">
      <c r="A139" s="7"/>
      <c r="C139" s="8"/>
      <c r="D139" s="127"/>
    </row>
    <row r="140" spans="1:4" ht="15.75" customHeight="1" x14ac:dyDescent="0.25">
      <c r="A140" s="587" t="s">
        <v>874</v>
      </c>
      <c r="B140" s="588"/>
      <c r="C140" s="151"/>
      <c r="D140" s="152">
        <f>SUM(D135,D137:D138)</f>
        <v>4989.1179887847611</v>
      </c>
    </row>
    <row r="141" spans="1:4" ht="8.1" customHeight="1" x14ac:dyDescent="0.25">
      <c r="A141" s="7"/>
      <c r="C141" s="8"/>
      <c r="D141" s="127"/>
    </row>
    <row r="142" spans="1:4" ht="15.75" customHeight="1" x14ac:dyDescent="0.25">
      <c r="A142" s="18" t="s">
        <v>875</v>
      </c>
      <c r="B142" s="13" t="s">
        <v>876</v>
      </c>
      <c r="C142" s="19">
        <f>'DADOS CCT'!D57</f>
        <v>7.5999999999999998E-2</v>
      </c>
      <c r="D142" s="14">
        <f>(D$140/(1-C$146))*C142</f>
        <v>427.23714608185003</v>
      </c>
    </row>
    <row r="143" spans="1:4" ht="15.75" customHeight="1" x14ac:dyDescent="0.25">
      <c r="A143" s="18" t="s">
        <v>877</v>
      </c>
      <c r="B143" s="13" t="s">
        <v>878</v>
      </c>
      <c r="C143" s="19">
        <f>'DADOS CCT'!D56</f>
        <v>1.6500000000000001E-2</v>
      </c>
      <c r="D143" s="14">
        <f>(D$140/(1-C$146))*C143</f>
        <v>92.755433030927975</v>
      </c>
    </row>
    <row r="144" spans="1:4" ht="15.75" customHeight="1" x14ac:dyDescent="0.25">
      <c r="A144" s="18" t="s">
        <v>879</v>
      </c>
      <c r="B144" s="13" t="s">
        <v>880</v>
      </c>
      <c r="C144" s="15"/>
      <c r="D144" s="14">
        <f>(D$140/(1-C$146))*C144</f>
        <v>0</v>
      </c>
    </row>
    <row r="145" spans="1:4" ht="15.75" customHeight="1" x14ac:dyDescent="0.25">
      <c r="A145" s="18" t="s">
        <v>881</v>
      </c>
      <c r="B145" s="13" t="s">
        <v>882</v>
      </c>
      <c r="C145" s="19">
        <f>'DADOS CCT'!D55</f>
        <v>0.02</v>
      </c>
      <c r="D145" s="14">
        <f>(D$140/(1-C$146))*C145</f>
        <v>112.43082791627633</v>
      </c>
    </row>
    <row r="146" spans="1:4" ht="15.75" customHeight="1" thickBot="1" x14ac:dyDescent="0.3">
      <c r="A146" s="599" t="s">
        <v>752</v>
      </c>
      <c r="B146" s="600"/>
      <c r="C146" s="43">
        <f>SUM(C142:C145)</f>
        <v>0.1125</v>
      </c>
      <c r="D146" s="39">
        <f>SUM(D137:D138,D142:D145)</f>
        <v>1301.9587215412951</v>
      </c>
    </row>
    <row r="147" spans="1:4" ht="15.95" customHeight="1" thickBot="1" x14ac:dyDescent="0.3">
      <c r="A147" s="4"/>
      <c r="B147" s="1"/>
      <c r="C147" s="22"/>
      <c r="D147" s="6"/>
    </row>
    <row r="148" spans="1:4" ht="18" customHeight="1" x14ac:dyDescent="0.25">
      <c r="A148" s="601" t="s">
        <v>883</v>
      </c>
      <c r="B148" s="602"/>
      <c r="C148" s="170"/>
      <c r="D148" s="171" t="s">
        <v>734</v>
      </c>
    </row>
    <row r="149" spans="1:4" ht="15.75" customHeight="1" x14ac:dyDescent="0.25">
      <c r="A149" s="45"/>
      <c r="B149" s="46" t="s">
        <v>884</v>
      </c>
      <c r="C149" s="136"/>
      <c r="D149" s="28">
        <f>D37</f>
        <v>2016.6676363636366</v>
      </c>
    </row>
    <row r="150" spans="1:4" ht="15.75" customHeight="1" x14ac:dyDescent="0.25">
      <c r="A150" s="45"/>
      <c r="B150" s="46" t="s">
        <v>885</v>
      </c>
      <c r="C150" s="136"/>
      <c r="D150" s="28">
        <f>D82</f>
        <v>1616.3543700234184</v>
      </c>
    </row>
    <row r="151" spans="1:4" ht="15.75" customHeight="1" x14ac:dyDescent="0.25">
      <c r="A151" s="45"/>
      <c r="B151" s="46" t="s">
        <v>886</v>
      </c>
      <c r="C151" s="143"/>
      <c r="D151" s="28">
        <f>D94</f>
        <v>221.35616199272727</v>
      </c>
    </row>
    <row r="152" spans="1:4" ht="15.75" customHeight="1" x14ac:dyDescent="0.25">
      <c r="A152" s="45"/>
      <c r="B152" s="46" t="s">
        <v>887</v>
      </c>
      <c r="C152" s="136"/>
      <c r="D152" s="28">
        <f>D123</f>
        <v>297.47617255940469</v>
      </c>
    </row>
    <row r="153" spans="1:4" ht="15.75" customHeight="1" x14ac:dyDescent="0.25">
      <c r="A153" s="45"/>
      <c r="B153" s="46" t="s">
        <v>888</v>
      </c>
      <c r="C153" s="136"/>
      <c r="D153" s="28">
        <f>D131</f>
        <v>167.72833333333332</v>
      </c>
    </row>
    <row r="154" spans="1:4" ht="15.75" customHeight="1" x14ac:dyDescent="0.25">
      <c r="A154" s="585" t="s">
        <v>752</v>
      </c>
      <c r="B154" s="412"/>
      <c r="C154" s="137"/>
      <c r="D154" s="138">
        <f>SUM(D149:D153)</f>
        <v>4319.5826742725203</v>
      </c>
    </row>
    <row r="155" spans="1:4" ht="15.75" customHeight="1" x14ac:dyDescent="0.25">
      <c r="A155" s="45"/>
      <c r="B155" s="46" t="s">
        <v>889</v>
      </c>
      <c r="C155" s="143"/>
      <c r="D155" s="28">
        <f>D146</f>
        <v>1301.9587215412951</v>
      </c>
    </row>
    <row r="156" spans="1:4" ht="15.75" customHeight="1" thickBot="1" x14ac:dyDescent="0.35">
      <c r="A156" s="603" t="s">
        <v>890</v>
      </c>
      <c r="B156" s="604"/>
      <c r="C156" s="168"/>
      <c r="D156" s="169">
        <f>TRUNC(SUM(D154:D155),2)</f>
        <v>5621.54</v>
      </c>
    </row>
    <row r="157" spans="1:4" ht="8.1" customHeight="1" thickBot="1" x14ac:dyDescent="0.3">
      <c r="A157" s="9"/>
      <c r="B157" s="10"/>
      <c r="C157" s="21"/>
      <c r="D157" s="11"/>
    </row>
    <row r="158" spans="1:4" ht="15.75" customHeight="1" thickBot="1" x14ac:dyDescent="0.3">
      <c r="A158" s="605" t="s">
        <v>891</v>
      </c>
      <c r="B158" s="470"/>
      <c r="C158" s="166"/>
      <c r="D158" s="167">
        <v>1</v>
      </c>
    </row>
    <row r="159" spans="1:4" ht="8.1" customHeight="1" thickBot="1" x14ac:dyDescent="0.3">
      <c r="A159" s="9"/>
      <c r="B159" s="10"/>
      <c r="C159" s="21"/>
      <c r="D159" s="11"/>
    </row>
    <row r="160" spans="1:4" ht="15.75" customHeight="1" thickBot="1" x14ac:dyDescent="0.35">
      <c r="A160" s="597" t="s">
        <v>892</v>
      </c>
      <c r="B160" s="598"/>
      <c r="C160" s="164"/>
      <c r="D160" s="165">
        <f>TRUNC(D156*D158,2)</f>
        <v>5621.54</v>
      </c>
    </row>
    <row r="161" spans="1:4" ht="15.95" customHeight="1" thickBot="1" x14ac:dyDescent="0.3"/>
    <row r="162" spans="1:4" ht="15.75" customHeight="1" thickBot="1" x14ac:dyDescent="0.35">
      <c r="A162" s="561" t="s">
        <v>893</v>
      </c>
      <c r="B162" s="562"/>
      <c r="C162" s="162"/>
      <c r="D162" s="163">
        <f>D156/D37</f>
        <v>2.7875391555033358</v>
      </c>
    </row>
    <row r="163" spans="1:4" ht="15.95" customHeight="1" thickBot="1" x14ac:dyDescent="0.3">
      <c r="A163" s="33"/>
      <c r="B163" s="33"/>
      <c r="C163" s="33"/>
    </row>
    <row r="164" spans="1:4" ht="15.75" customHeight="1" x14ac:dyDescent="0.3">
      <c r="A164" s="551" t="s">
        <v>894</v>
      </c>
      <c r="B164" s="551"/>
      <c r="C164" s="160"/>
      <c r="D164" s="161"/>
    </row>
    <row r="165" spans="1:4" ht="15" customHeight="1" thickBot="1" x14ac:dyDescent="0.3">
      <c r="A165" s="157"/>
      <c r="B165" s="157" t="s">
        <v>895</v>
      </c>
      <c r="C165" s="157"/>
      <c r="D165" s="158">
        <f>TRUNC(D156/C$18,2)</f>
        <v>267.69</v>
      </c>
    </row>
  </sheetData>
  <mergeCells count="65">
    <mergeCell ref="C15:D15"/>
    <mergeCell ref="C3:D3"/>
    <mergeCell ref="C4:D4"/>
    <mergeCell ref="C5:D5"/>
    <mergeCell ref="A7:B7"/>
    <mergeCell ref="C8:D8"/>
    <mergeCell ref="C9:D9"/>
    <mergeCell ref="C10:D10"/>
    <mergeCell ref="C11:D11"/>
    <mergeCell ref="C12:D12"/>
    <mergeCell ref="C13:D13"/>
    <mergeCell ref="C14:D14"/>
    <mergeCell ref="A33:B33"/>
    <mergeCell ref="C16:D16"/>
    <mergeCell ref="C17:D17"/>
    <mergeCell ref="C18:D18"/>
    <mergeCell ref="C19:D19"/>
    <mergeCell ref="C20:D20"/>
    <mergeCell ref="C21:D21"/>
    <mergeCell ref="C22:D22"/>
    <mergeCell ref="C23:D23"/>
    <mergeCell ref="A25:B25"/>
    <mergeCell ref="C25:D25"/>
    <mergeCell ref="A27:B27"/>
    <mergeCell ref="A76:B76"/>
    <mergeCell ref="A37:B37"/>
    <mergeCell ref="A38:B38"/>
    <mergeCell ref="A40:B40"/>
    <mergeCell ref="A42:B42"/>
    <mergeCell ref="A45:B45"/>
    <mergeCell ref="A46:B46"/>
    <mergeCell ref="A48:B48"/>
    <mergeCell ref="A58:B58"/>
    <mergeCell ref="A59:B59"/>
    <mergeCell ref="A61:B61"/>
    <mergeCell ref="A75:B75"/>
    <mergeCell ref="A114:B114"/>
    <mergeCell ref="A78:B78"/>
    <mergeCell ref="A82:B82"/>
    <mergeCell ref="A85:B85"/>
    <mergeCell ref="A94:B94"/>
    <mergeCell ref="A95:B95"/>
    <mergeCell ref="A97:B97"/>
    <mergeCell ref="A99:B99"/>
    <mergeCell ref="A101:B101"/>
    <mergeCell ref="A109:B109"/>
    <mergeCell ref="A111:B111"/>
    <mergeCell ref="A112:B112"/>
    <mergeCell ref="A154:B154"/>
    <mergeCell ref="A117:B117"/>
    <mergeCell ref="A118:B118"/>
    <mergeCell ref="A120:B120"/>
    <mergeCell ref="A123:B123"/>
    <mergeCell ref="A126:B126"/>
    <mergeCell ref="A131:B131"/>
    <mergeCell ref="A133:B133"/>
    <mergeCell ref="A135:B135"/>
    <mergeCell ref="A140:B140"/>
    <mergeCell ref="A146:B146"/>
    <mergeCell ref="A148:B148"/>
    <mergeCell ref="A156:B156"/>
    <mergeCell ref="A158:B158"/>
    <mergeCell ref="A160:B160"/>
    <mergeCell ref="A162:B162"/>
    <mergeCell ref="A164:B164"/>
  </mergeCells>
  <pageMargins left="0.70866141732283472" right="0.70866141732283472" top="0.74803149606299213" bottom="0.74803149606299213" header="0" footer="0"/>
  <pageSetup paperSize="9" scale="80" fitToHeight="0" orientation="portrait" r:id="rId1"/>
  <rowBreaks count="4" manualBreakCount="4">
    <brk id="38" max="3" man="1"/>
    <brk id="83" max="3" man="1"/>
    <brk id="90" max="16383" man="1"/>
    <brk id="124" max="3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BA034-1118-45C6-A88D-1A0ABEECB8A7}">
  <sheetPr>
    <tabColor theme="7" tint="0.79998168889431442"/>
    <outlinePr summaryBelow="0"/>
    <pageSetUpPr fitToPage="1"/>
  </sheetPr>
  <dimension ref="A1:D165"/>
  <sheetViews>
    <sheetView workbookViewId="0"/>
  </sheetViews>
  <sheetFormatPr defaultColWidth="14.42578125" defaultRowHeight="15" customHeight="1" x14ac:dyDescent="0.25"/>
  <cols>
    <col min="1" max="1" width="6.7109375" customWidth="1"/>
    <col min="2" max="2" width="64.7109375" customWidth="1"/>
    <col min="3" max="3" width="18.7109375" customWidth="1"/>
    <col min="4" max="4" width="18.7109375" style="33" customWidth="1"/>
    <col min="5" max="16384" width="14.42578125" style="159"/>
  </cols>
  <sheetData>
    <row r="1" spans="1:4" ht="40.5" customHeight="1" x14ac:dyDescent="0.25">
      <c r="A1" s="38"/>
      <c r="B1" s="313" t="s">
        <v>692</v>
      </c>
      <c r="C1" s="37"/>
      <c r="D1" s="37"/>
    </row>
    <row r="2" spans="1:4" ht="15.95" customHeight="1" thickBot="1" x14ac:dyDescent="0.3">
      <c r="A2" s="125"/>
      <c r="B2" s="42"/>
      <c r="C2" s="126"/>
      <c r="D2" s="127"/>
    </row>
    <row r="3" spans="1:4" ht="15" customHeight="1" x14ac:dyDescent="0.25">
      <c r="A3" s="192"/>
      <c r="B3" s="314" t="s">
        <v>693</v>
      </c>
      <c r="C3" s="552"/>
      <c r="D3" s="552"/>
    </row>
    <row r="4" spans="1:4" ht="15" customHeight="1" x14ac:dyDescent="0.25">
      <c r="A4" s="193"/>
      <c r="B4" s="274" t="s">
        <v>694</v>
      </c>
      <c r="C4" s="553"/>
      <c r="D4" s="553"/>
    </row>
    <row r="5" spans="1:4" ht="15.75" customHeight="1" thickBot="1" x14ac:dyDescent="0.3">
      <c r="A5" s="194"/>
      <c r="B5" s="195" t="s">
        <v>695</v>
      </c>
      <c r="C5" s="554"/>
      <c r="D5" s="554"/>
    </row>
    <row r="6" spans="1:4" ht="15.95" customHeight="1" thickBot="1" x14ac:dyDescent="0.3">
      <c r="A6" s="125"/>
      <c r="B6" s="42"/>
      <c r="C6" s="126"/>
      <c r="D6" s="127"/>
    </row>
    <row r="7" spans="1:4" ht="15" customHeight="1" x14ac:dyDescent="0.25">
      <c r="A7" s="563" t="s">
        <v>696</v>
      </c>
      <c r="B7" s="564"/>
      <c r="C7" s="128"/>
      <c r="D7" s="129"/>
    </row>
    <row r="8" spans="1:4" ht="15" customHeight="1" x14ac:dyDescent="0.25">
      <c r="A8" s="45" t="s">
        <v>697</v>
      </c>
      <c r="B8" s="263" t="s">
        <v>698</v>
      </c>
      <c r="C8" s="555"/>
      <c r="D8" s="555"/>
    </row>
    <row r="9" spans="1:4" ht="15" customHeight="1" x14ac:dyDescent="0.25">
      <c r="A9" s="45" t="s">
        <v>699</v>
      </c>
      <c r="B9" s="263" t="s">
        <v>700</v>
      </c>
      <c r="C9" s="555" t="str">
        <f>'DADOS CCT'!B61</f>
        <v>PALMEIRA DAS MISSÕES</v>
      </c>
      <c r="D9" s="555"/>
    </row>
    <row r="10" spans="1:4" ht="15" customHeight="1" x14ac:dyDescent="0.25">
      <c r="A10" s="45" t="s">
        <v>701</v>
      </c>
      <c r="B10" s="263" t="s">
        <v>702</v>
      </c>
      <c r="C10" s="555" t="str">
        <f>'DADOS CCT'!C61&amp;" - "&amp;'DADOS CCT'!D62</f>
        <v>SINDILIMP/RS - RS000044/2024</v>
      </c>
      <c r="D10" s="555"/>
    </row>
    <row r="11" spans="1:4" ht="15" customHeight="1" x14ac:dyDescent="0.25">
      <c r="A11" s="45" t="s">
        <v>703</v>
      </c>
      <c r="B11" s="263" t="s">
        <v>704</v>
      </c>
      <c r="C11" s="556">
        <v>12</v>
      </c>
      <c r="D11" s="556"/>
    </row>
    <row r="12" spans="1:4" ht="15" customHeight="1" x14ac:dyDescent="0.25">
      <c r="A12" s="45" t="s">
        <v>705</v>
      </c>
      <c r="B12" s="263" t="s">
        <v>706</v>
      </c>
      <c r="C12" s="557">
        <f>'DADOS CCT'!D63</f>
        <v>45292</v>
      </c>
      <c r="D12" s="557"/>
    </row>
    <row r="13" spans="1:4" ht="29.25" customHeight="1" x14ac:dyDescent="0.25">
      <c r="A13" s="45" t="s">
        <v>707</v>
      </c>
      <c r="B13" s="315" t="s">
        <v>708</v>
      </c>
      <c r="C13" s="558" t="s">
        <v>709</v>
      </c>
      <c r="D13" s="558"/>
    </row>
    <row r="14" spans="1:4" x14ac:dyDescent="0.25">
      <c r="A14" s="130" t="s">
        <v>710</v>
      </c>
      <c r="B14" s="131" t="s">
        <v>711</v>
      </c>
      <c r="C14" s="559" t="s">
        <v>712</v>
      </c>
      <c r="D14" s="559"/>
    </row>
    <row r="15" spans="1:4" x14ac:dyDescent="0.25">
      <c r="A15" s="130" t="s">
        <v>713</v>
      </c>
      <c r="B15" s="131" t="s">
        <v>714</v>
      </c>
      <c r="C15" s="559" t="s">
        <v>896</v>
      </c>
      <c r="D15" s="559"/>
    </row>
    <row r="16" spans="1:4" x14ac:dyDescent="0.25">
      <c r="A16" s="130" t="s">
        <v>716</v>
      </c>
      <c r="B16" s="131" t="s">
        <v>717</v>
      </c>
      <c r="C16" s="559" t="str">
        <f ca="1">RIGHT(CELL("nome.arquivo",A1),LEN(CELL("nome.arquivo",A1))-SEARCH("]",CELL("nome.arquivo",A1)))</f>
        <v>5143-20 SVR.L 5x2 DIURNO PM</v>
      </c>
      <c r="D16" s="559"/>
    </row>
    <row r="17" spans="1:4" x14ac:dyDescent="0.25">
      <c r="A17" s="130" t="s">
        <v>718</v>
      </c>
      <c r="B17" s="131" t="s">
        <v>719</v>
      </c>
      <c r="C17" s="560" t="s">
        <v>1197</v>
      </c>
      <c r="D17" s="560"/>
    </row>
    <row r="18" spans="1:4" x14ac:dyDescent="0.25">
      <c r="A18" s="130" t="s">
        <v>721</v>
      </c>
      <c r="B18" s="131" t="s">
        <v>722</v>
      </c>
      <c r="C18" s="560">
        <v>21</v>
      </c>
      <c r="D18" s="560"/>
    </row>
    <row r="19" spans="1:4" ht="15.75" customHeight="1" x14ac:dyDescent="0.25">
      <c r="A19" s="130" t="s">
        <v>723</v>
      </c>
      <c r="B19" s="131" t="s">
        <v>724</v>
      </c>
      <c r="C19" s="560">
        <f>'DADOS CCT'!D64</f>
        <v>1540.51</v>
      </c>
      <c r="D19" s="560"/>
    </row>
    <row r="20" spans="1:4" ht="15.75" customHeight="1" x14ac:dyDescent="0.25">
      <c r="A20" s="130" t="s">
        <v>725</v>
      </c>
      <c r="B20" s="132" t="s">
        <v>726</v>
      </c>
      <c r="C20" s="573">
        <f>C19/220</f>
        <v>7.0023181818181817</v>
      </c>
      <c r="D20" s="573"/>
    </row>
    <row r="21" spans="1:4" ht="15.75" customHeight="1" x14ac:dyDescent="0.25">
      <c r="A21" s="130" t="s">
        <v>727</v>
      </c>
      <c r="B21" s="132" t="s">
        <v>728</v>
      </c>
      <c r="C21" s="573">
        <f>C20*1.5</f>
        <v>10.503477272727272</v>
      </c>
      <c r="D21" s="573"/>
    </row>
    <row r="22" spans="1:4" ht="15.75" customHeight="1" x14ac:dyDescent="0.25">
      <c r="A22" s="130" t="s">
        <v>729</v>
      </c>
      <c r="B22" s="132" t="s">
        <v>730</v>
      </c>
      <c r="C22" s="573">
        <f>C20*2</f>
        <v>14.004636363636363</v>
      </c>
      <c r="D22" s="573"/>
    </row>
    <row r="23" spans="1:4" ht="15.75" customHeight="1" thickBot="1" x14ac:dyDescent="0.3">
      <c r="A23" s="133" t="s">
        <v>731</v>
      </c>
      <c r="B23" s="134" t="s">
        <v>732</v>
      </c>
      <c r="C23" s="574">
        <f>C20*0.2</f>
        <v>1.4004636363636365</v>
      </c>
      <c r="D23" s="574"/>
    </row>
    <row r="24" spans="1:4" ht="15.95" customHeight="1" thickBot="1" x14ac:dyDescent="0.3">
      <c r="A24" s="125"/>
      <c r="B24" s="42"/>
      <c r="C24" s="126"/>
      <c r="D24" s="127"/>
    </row>
    <row r="25" spans="1:4" ht="15.75" thickBot="1" x14ac:dyDescent="0.3">
      <c r="A25" s="565"/>
      <c r="B25" s="566"/>
      <c r="C25" s="567" t="str">
        <f>'DADOS CCT'!D3</f>
        <v>00 - VALOR ESTIMADO</v>
      </c>
      <c r="D25" s="568"/>
    </row>
    <row r="26" spans="1:4" ht="6" customHeight="1" thickBot="1" x14ac:dyDescent="0.3">
      <c r="A26" s="4"/>
      <c r="B26" s="1"/>
      <c r="C26" s="5"/>
      <c r="D26" s="6"/>
    </row>
    <row r="27" spans="1:4" ht="18" customHeight="1" x14ac:dyDescent="0.25">
      <c r="A27" s="569" t="s">
        <v>733</v>
      </c>
      <c r="B27" s="570"/>
      <c r="C27" s="190"/>
      <c r="D27" s="191" t="s">
        <v>734</v>
      </c>
    </row>
    <row r="28" spans="1:4" ht="15.75" customHeight="1" x14ac:dyDescent="0.25">
      <c r="A28" s="45" t="s">
        <v>735</v>
      </c>
      <c r="B28" s="46" t="s">
        <v>736</v>
      </c>
      <c r="C28" s="135">
        <v>200</v>
      </c>
      <c r="D28" s="28">
        <f>C28*C19/220</f>
        <v>1400.4636363636364</v>
      </c>
    </row>
    <row r="29" spans="1:4" ht="15.75" customHeight="1" x14ac:dyDescent="0.25">
      <c r="A29" s="45" t="s">
        <v>737</v>
      </c>
      <c r="B29" s="46" t="s">
        <v>738</v>
      </c>
      <c r="C29" s="136"/>
      <c r="D29" s="28">
        <f>D$28*C29</f>
        <v>0</v>
      </c>
    </row>
    <row r="30" spans="1:4" ht="15.75" customHeight="1" x14ac:dyDescent="0.25">
      <c r="A30" s="45" t="s">
        <v>739</v>
      </c>
      <c r="B30" s="46" t="s">
        <v>740</v>
      </c>
      <c r="C30" s="136">
        <v>0.2</v>
      </c>
      <c r="D30" s="208">
        <f>C30*C19</f>
        <v>308.10200000000003</v>
      </c>
    </row>
    <row r="31" spans="1:4" ht="15.75" customHeight="1" x14ac:dyDescent="0.25">
      <c r="A31" s="45" t="s">
        <v>741</v>
      </c>
      <c r="B31" s="46" t="s">
        <v>742</v>
      </c>
      <c r="C31" s="28"/>
      <c r="D31" s="28">
        <f>(D28/C28)*0.2*C31*(60/52.5)</f>
        <v>0</v>
      </c>
    </row>
    <row r="32" spans="1:4" ht="15.75" customHeight="1" x14ac:dyDescent="0.25">
      <c r="A32" s="45" t="s">
        <v>743</v>
      </c>
      <c r="B32" s="46" t="s">
        <v>744</v>
      </c>
      <c r="C32" s="28"/>
      <c r="D32" s="28">
        <f>(D28/C28)*1.5*C32</f>
        <v>0</v>
      </c>
    </row>
    <row r="33" spans="1:4" ht="15.75" customHeight="1" x14ac:dyDescent="0.25">
      <c r="A33" s="571" t="s">
        <v>745</v>
      </c>
      <c r="B33" s="572"/>
      <c r="C33" s="184"/>
      <c r="D33" s="185">
        <f>SUM(D28:D32)</f>
        <v>1708.5656363636365</v>
      </c>
    </row>
    <row r="34" spans="1:4" ht="15.75" customHeight="1" x14ac:dyDescent="0.25">
      <c r="A34" s="45" t="s">
        <v>746</v>
      </c>
      <c r="B34" s="46" t="s">
        <v>747</v>
      </c>
      <c r="C34" s="28"/>
      <c r="D34" s="28">
        <f>15*C34*(D28/C28)*1.5</f>
        <v>0</v>
      </c>
    </row>
    <row r="35" spans="1:4" ht="15.75" customHeight="1" x14ac:dyDescent="0.25">
      <c r="A35" s="45" t="s">
        <v>748</v>
      </c>
      <c r="B35" s="46" t="s">
        <v>749</v>
      </c>
      <c r="C35" s="139">
        <f>'DADOS CCT'!D66</f>
        <v>0</v>
      </c>
      <c r="D35" s="28">
        <f>D28*C35</f>
        <v>0</v>
      </c>
    </row>
    <row r="36" spans="1:4" ht="15.75" customHeight="1" x14ac:dyDescent="0.25">
      <c r="A36" s="45" t="s">
        <v>750</v>
      </c>
      <c r="B36" s="46" t="s">
        <v>751</v>
      </c>
      <c r="C36" s="136"/>
      <c r="D36" s="28">
        <f>D$28*C36</f>
        <v>0</v>
      </c>
    </row>
    <row r="37" spans="1:4" ht="15.75" customHeight="1" thickBot="1" x14ac:dyDescent="0.3">
      <c r="A37" s="575" t="s">
        <v>752</v>
      </c>
      <c r="B37" s="576"/>
      <c r="C37" s="188"/>
      <c r="D37" s="189">
        <f>SUM(D33:D36)</f>
        <v>1708.5656363636365</v>
      </c>
    </row>
    <row r="38" spans="1:4" ht="24" customHeight="1" x14ac:dyDescent="0.25">
      <c r="A38" s="577" t="s">
        <v>1233</v>
      </c>
      <c r="B38" s="578"/>
      <c r="C38" s="8"/>
      <c r="D38" s="127"/>
    </row>
    <row r="39" spans="1:4" ht="8.1" customHeight="1" thickBot="1" x14ac:dyDescent="0.3">
      <c r="A39" s="7"/>
      <c r="B39" s="16"/>
      <c r="C39" s="8"/>
      <c r="D39" s="127"/>
    </row>
    <row r="40" spans="1:4" ht="18" customHeight="1" x14ac:dyDescent="0.25">
      <c r="A40" s="579" t="s">
        <v>753</v>
      </c>
      <c r="B40" s="580"/>
      <c r="C40" s="142"/>
      <c r="D40" s="187"/>
    </row>
    <row r="41" spans="1:4" ht="6" customHeight="1" x14ac:dyDescent="0.25">
      <c r="A41" s="125"/>
      <c r="B41" s="42"/>
      <c r="C41" s="126"/>
      <c r="D41" s="127"/>
    </row>
    <row r="42" spans="1:4" ht="15.75" customHeight="1" x14ac:dyDescent="0.25">
      <c r="A42" s="581" t="s">
        <v>754</v>
      </c>
      <c r="B42" s="572"/>
      <c r="C42" s="182"/>
      <c r="D42" s="183" t="s">
        <v>734</v>
      </c>
    </row>
    <row r="43" spans="1:4" ht="15" customHeight="1" x14ac:dyDescent="0.25">
      <c r="A43" s="45" t="s">
        <v>755</v>
      </c>
      <c r="B43" s="46" t="s">
        <v>756</v>
      </c>
      <c r="C43" s="136">
        <v>8.3299999999999999E-2</v>
      </c>
      <c r="D43" s="28">
        <f>D$33*C43</f>
        <v>142.32351750909092</v>
      </c>
    </row>
    <row r="44" spans="1:4" ht="15" customHeight="1" x14ac:dyDescent="0.25">
      <c r="A44" s="45" t="s">
        <v>757</v>
      </c>
      <c r="B44" s="46" t="s">
        <v>758</v>
      </c>
      <c r="C44" s="143">
        <v>3.0249999999999999E-2</v>
      </c>
      <c r="D44" s="28">
        <f>D$33*C44</f>
        <v>51.684110500000003</v>
      </c>
    </row>
    <row r="45" spans="1:4" ht="15.75" customHeight="1" x14ac:dyDescent="0.25">
      <c r="A45" s="582" t="s">
        <v>752</v>
      </c>
      <c r="B45" s="572"/>
      <c r="C45" s="186"/>
      <c r="D45" s="185">
        <f>SUM(D43:D44)</f>
        <v>194.00762800909092</v>
      </c>
    </row>
    <row r="46" spans="1:4" ht="37.5" customHeight="1" x14ac:dyDescent="0.25">
      <c r="A46" s="583" t="s">
        <v>759</v>
      </c>
      <c r="B46" s="584"/>
      <c r="C46" s="141"/>
      <c r="D46" s="41"/>
    </row>
    <row r="47" spans="1:4" ht="8.1" customHeight="1" x14ac:dyDescent="0.25">
      <c r="A47" s="125"/>
      <c r="B47" s="33"/>
      <c r="C47" s="126"/>
      <c r="D47" s="127"/>
    </row>
    <row r="48" spans="1:4" ht="15.75" customHeight="1" x14ac:dyDescent="0.25">
      <c r="A48" s="581" t="s">
        <v>760</v>
      </c>
      <c r="B48" s="572"/>
      <c r="C48" s="182"/>
      <c r="D48" s="183" t="s">
        <v>734</v>
      </c>
    </row>
    <row r="49" spans="1:4" ht="15" customHeight="1" x14ac:dyDescent="0.25">
      <c r="A49" s="45" t="s">
        <v>761</v>
      </c>
      <c r="B49" s="46" t="s">
        <v>762</v>
      </c>
      <c r="C49" s="136">
        <v>0.2</v>
      </c>
      <c r="D49" s="28">
        <f t="shared" ref="D49:D57" si="0">(D$33+D$45)*C49</f>
        <v>380.5146528745455</v>
      </c>
    </row>
    <row r="50" spans="1:4" ht="15" customHeight="1" x14ac:dyDescent="0.25">
      <c r="A50" s="45" t="s">
        <v>763</v>
      </c>
      <c r="B50" s="46" t="s">
        <v>764</v>
      </c>
      <c r="C50" s="136">
        <v>2.5000000000000001E-2</v>
      </c>
      <c r="D50" s="28">
        <f t="shared" si="0"/>
        <v>47.564331609318188</v>
      </c>
    </row>
    <row r="51" spans="1:4" ht="15" customHeight="1" x14ac:dyDescent="0.25">
      <c r="A51" s="45" t="s">
        <v>765</v>
      </c>
      <c r="B51" s="46" t="s">
        <v>766</v>
      </c>
      <c r="C51" s="144">
        <f>'DADOS CCT'!D$76*'DADOS CCT'!D$77</f>
        <v>0.06</v>
      </c>
      <c r="D51" s="28">
        <f t="shared" si="0"/>
        <v>114.15439586236364</v>
      </c>
    </row>
    <row r="52" spans="1:4" ht="15" customHeight="1" x14ac:dyDescent="0.25">
      <c r="A52" s="45" t="s">
        <v>767</v>
      </c>
      <c r="B52" s="46" t="s">
        <v>768</v>
      </c>
      <c r="C52" s="136">
        <v>1.4999999999999999E-2</v>
      </c>
      <c r="D52" s="28">
        <f t="shared" si="0"/>
        <v>28.538598965590911</v>
      </c>
    </row>
    <row r="53" spans="1:4" ht="15" customHeight="1" x14ac:dyDescent="0.25">
      <c r="A53" s="45" t="s">
        <v>769</v>
      </c>
      <c r="B53" s="46" t="s">
        <v>770</v>
      </c>
      <c r="C53" s="136">
        <v>0.01</v>
      </c>
      <c r="D53" s="28">
        <f t="shared" si="0"/>
        <v>19.025732643727274</v>
      </c>
    </row>
    <row r="54" spans="1:4" ht="15" customHeight="1" x14ac:dyDescent="0.25">
      <c r="A54" s="45" t="s">
        <v>771</v>
      </c>
      <c r="B54" s="46" t="s">
        <v>772</v>
      </c>
      <c r="C54" s="136">
        <v>6.0000000000000001E-3</v>
      </c>
      <c r="D54" s="28">
        <f t="shared" si="0"/>
        <v>11.415439586236365</v>
      </c>
    </row>
    <row r="55" spans="1:4" ht="15" customHeight="1" x14ac:dyDescent="0.25">
      <c r="A55" s="45" t="s">
        <v>773</v>
      </c>
      <c r="B55" s="46" t="s">
        <v>774</v>
      </c>
      <c r="C55" s="136">
        <v>2E-3</v>
      </c>
      <c r="D55" s="28">
        <f t="shared" si="0"/>
        <v>3.8051465287454551</v>
      </c>
    </row>
    <row r="56" spans="1:4" ht="15" customHeight="1" x14ac:dyDescent="0.25">
      <c r="A56" s="45" t="s">
        <v>775</v>
      </c>
      <c r="B56" s="46" t="s">
        <v>776</v>
      </c>
      <c r="C56" s="136">
        <v>0.08</v>
      </c>
      <c r="D56" s="28">
        <f t="shared" si="0"/>
        <v>152.20586114981819</v>
      </c>
    </row>
    <row r="57" spans="1:4" ht="15" customHeight="1" x14ac:dyDescent="0.25">
      <c r="A57" s="45" t="s">
        <v>777</v>
      </c>
      <c r="B57" s="46" t="s">
        <v>778</v>
      </c>
      <c r="C57" s="136"/>
      <c r="D57" s="28">
        <f t="shared" si="0"/>
        <v>0</v>
      </c>
    </row>
    <row r="58" spans="1:4" ht="15.75" customHeight="1" x14ac:dyDescent="0.25">
      <c r="A58" s="585" t="s">
        <v>752</v>
      </c>
      <c r="B58" s="412"/>
      <c r="C58" s="137">
        <f>SUM(C49:C50,C51:C57)</f>
        <v>0.39800000000000008</v>
      </c>
      <c r="D58" s="138">
        <f>SUM(D49:D57)</f>
        <v>757.22415922034565</v>
      </c>
    </row>
    <row r="59" spans="1:4" ht="20.25" customHeight="1" x14ac:dyDescent="0.25">
      <c r="A59" s="583" t="s">
        <v>779</v>
      </c>
      <c r="B59" s="586"/>
      <c r="C59" s="141"/>
      <c r="D59" s="41"/>
    </row>
    <row r="60" spans="1:4" ht="8.1" customHeight="1" x14ac:dyDescent="0.25">
      <c r="A60" s="125"/>
      <c r="B60" s="33"/>
      <c r="C60" s="140"/>
      <c r="D60" s="127"/>
    </row>
    <row r="61" spans="1:4" ht="15.75" customHeight="1" x14ac:dyDescent="0.25">
      <c r="A61" s="581" t="s">
        <v>780</v>
      </c>
      <c r="B61" s="572"/>
      <c r="C61" s="182"/>
      <c r="D61" s="183" t="s">
        <v>734</v>
      </c>
    </row>
    <row r="62" spans="1:4" ht="15.75" customHeight="1" x14ac:dyDescent="0.25">
      <c r="A62" s="45" t="s">
        <v>781</v>
      </c>
      <c r="B62" s="46" t="s">
        <v>782</v>
      </c>
      <c r="C62" s="145"/>
      <c r="D62" s="138">
        <f>((C63*C64*C65)-D66)*C67</f>
        <v>83.972181818181824</v>
      </c>
    </row>
    <row r="63" spans="1:4" ht="15.75" customHeight="1" x14ac:dyDescent="0.25">
      <c r="A63" s="45" t="s">
        <v>783</v>
      </c>
      <c r="B63" s="46" t="s">
        <v>784</v>
      </c>
      <c r="C63" s="146">
        <f>'DADOS CCT'!D67</f>
        <v>4</v>
      </c>
      <c r="D63" s="28">
        <v>0</v>
      </c>
    </row>
    <row r="64" spans="1:4" ht="15.75" customHeight="1" x14ac:dyDescent="0.25">
      <c r="A64" s="45" t="s">
        <v>785</v>
      </c>
      <c r="B64" s="46" t="s">
        <v>786</v>
      </c>
      <c r="C64" s="28">
        <v>2</v>
      </c>
      <c r="D64" s="28">
        <v>0</v>
      </c>
    </row>
    <row r="65" spans="1:4" ht="15.75" customHeight="1" x14ac:dyDescent="0.25">
      <c r="A65" s="45" t="s">
        <v>787</v>
      </c>
      <c r="B65" s="46" t="s">
        <v>788</v>
      </c>
      <c r="C65" s="147">
        <f>C$18</f>
        <v>21</v>
      </c>
      <c r="D65" s="28">
        <v>0</v>
      </c>
    </row>
    <row r="66" spans="1:4" ht="15.75" customHeight="1" x14ac:dyDescent="0.25">
      <c r="A66" s="45" t="s">
        <v>789</v>
      </c>
      <c r="B66" s="46" t="s">
        <v>790</v>
      </c>
      <c r="C66" s="136">
        <v>0.06</v>
      </c>
      <c r="D66" s="28">
        <f>C66*D$28</f>
        <v>84.027818181818176</v>
      </c>
    </row>
    <row r="67" spans="1:4" ht="15.75" customHeight="1" x14ac:dyDescent="0.25">
      <c r="A67" s="45" t="s">
        <v>791</v>
      </c>
      <c r="B67" s="46" t="s">
        <v>792</v>
      </c>
      <c r="C67" s="144">
        <f>'DADOS CCT'!D68</f>
        <v>1</v>
      </c>
      <c r="D67" s="28">
        <v>0</v>
      </c>
    </row>
    <row r="68" spans="1:4" ht="15.75" customHeight="1" x14ac:dyDescent="0.25">
      <c r="A68" s="45" t="s">
        <v>793</v>
      </c>
      <c r="B68" s="46" t="s">
        <v>794</v>
      </c>
      <c r="C68" s="136"/>
      <c r="D68" s="138">
        <f>(C69*C70)-D71</f>
        <v>402.79679999999996</v>
      </c>
    </row>
    <row r="69" spans="1:4" ht="15.75" customHeight="1" x14ac:dyDescent="0.25">
      <c r="A69" s="45" t="s">
        <v>795</v>
      </c>
      <c r="B69" s="46" t="s">
        <v>796</v>
      </c>
      <c r="C69" s="146">
        <f>'DADOS CCT'!D69</f>
        <v>23.68</v>
      </c>
      <c r="D69" s="28">
        <v>0</v>
      </c>
    </row>
    <row r="70" spans="1:4" ht="15.75" customHeight="1" x14ac:dyDescent="0.25">
      <c r="A70" s="45" t="s">
        <v>797</v>
      </c>
      <c r="B70" s="46" t="s">
        <v>798</v>
      </c>
      <c r="C70" s="147">
        <f>C$18</f>
        <v>21</v>
      </c>
      <c r="D70" s="28">
        <v>0</v>
      </c>
    </row>
    <row r="71" spans="1:4" ht="15.75" customHeight="1" x14ac:dyDescent="0.25">
      <c r="A71" s="45" t="s">
        <v>799</v>
      </c>
      <c r="B71" s="46" t="s">
        <v>800</v>
      </c>
      <c r="C71" s="144">
        <f>'DADOS CCT'!D71</f>
        <v>0.19</v>
      </c>
      <c r="D71" s="28">
        <f>(C69*C70)*C71</f>
        <v>94.483199999999997</v>
      </c>
    </row>
    <row r="72" spans="1:4" ht="15.75" customHeight="1" x14ac:dyDescent="0.25">
      <c r="A72" s="45" t="s">
        <v>801</v>
      </c>
      <c r="B72" s="46" t="s">
        <v>802</v>
      </c>
      <c r="C72" s="136"/>
      <c r="D72" s="208">
        <f>'DADOS CCT'!D$72</f>
        <v>19.420000000000002</v>
      </c>
    </row>
    <row r="73" spans="1:4" ht="15.75" customHeight="1" x14ac:dyDescent="0.25">
      <c r="A73" s="45" t="s">
        <v>803</v>
      </c>
      <c r="B73" s="46" t="s">
        <v>804</v>
      </c>
      <c r="C73" s="136"/>
      <c r="D73" s="28">
        <v>0</v>
      </c>
    </row>
    <row r="74" spans="1:4" ht="15.75" customHeight="1" x14ac:dyDescent="0.25">
      <c r="A74" s="45" t="s">
        <v>805</v>
      </c>
      <c r="B74" s="46" t="s">
        <v>778</v>
      </c>
      <c r="C74" s="136"/>
      <c r="D74" s="28">
        <v>0</v>
      </c>
    </row>
    <row r="75" spans="1:4" ht="15.75" customHeight="1" x14ac:dyDescent="0.25">
      <c r="A75" s="582" t="s">
        <v>752</v>
      </c>
      <c r="B75" s="572"/>
      <c r="C75" s="184"/>
      <c r="D75" s="185">
        <f>SUM(D62,D68,D72:D74)</f>
        <v>506.18898181818179</v>
      </c>
    </row>
    <row r="76" spans="1:4" ht="38.25" customHeight="1" x14ac:dyDescent="0.25">
      <c r="A76" s="583" t="s">
        <v>1102</v>
      </c>
      <c r="B76" s="586"/>
      <c r="C76" s="40"/>
      <c r="D76" s="41"/>
    </row>
    <row r="77" spans="1:4" ht="8.1" customHeight="1" x14ac:dyDescent="0.25">
      <c r="A77" s="125"/>
      <c r="B77" s="33"/>
      <c r="C77" s="140"/>
      <c r="D77" s="127"/>
    </row>
    <row r="78" spans="1:4" ht="15.75" customHeight="1" x14ac:dyDescent="0.25">
      <c r="A78" s="581" t="s">
        <v>806</v>
      </c>
      <c r="B78" s="572"/>
      <c r="C78" s="182"/>
      <c r="D78" s="183" t="s">
        <v>734</v>
      </c>
    </row>
    <row r="79" spans="1:4" ht="15.75" customHeight="1" x14ac:dyDescent="0.25">
      <c r="A79" s="45" t="s">
        <v>807</v>
      </c>
      <c r="B79" s="46" t="s">
        <v>808</v>
      </c>
      <c r="C79" s="136"/>
      <c r="D79" s="28">
        <f>D45</f>
        <v>194.00762800909092</v>
      </c>
    </row>
    <row r="80" spans="1:4" ht="15.75" customHeight="1" x14ac:dyDescent="0.25">
      <c r="A80" s="45" t="s">
        <v>809</v>
      </c>
      <c r="B80" s="46" t="s">
        <v>810</v>
      </c>
      <c r="C80" s="28"/>
      <c r="D80" s="28">
        <f>D58</f>
        <v>757.22415922034565</v>
      </c>
    </row>
    <row r="81" spans="1:4" ht="15.75" customHeight="1" x14ac:dyDescent="0.25">
      <c r="A81" s="45" t="s">
        <v>811</v>
      </c>
      <c r="B81" s="46" t="s">
        <v>812</v>
      </c>
      <c r="C81" s="28"/>
      <c r="D81" s="28">
        <f>D75</f>
        <v>506.18898181818179</v>
      </c>
    </row>
    <row r="82" spans="1:4" ht="15.75" customHeight="1" thickBot="1" x14ac:dyDescent="0.3">
      <c r="A82" s="589" t="s">
        <v>752</v>
      </c>
      <c r="B82" s="590"/>
      <c r="C82" s="180"/>
      <c r="D82" s="181">
        <f>SUM(D79:D81)</f>
        <v>1457.4207690476183</v>
      </c>
    </row>
    <row r="83" spans="1:4" ht="8.1" customHeight="1" x14ac:dyDescent="0.25">
      <c r="A83" s="148"/>
      <c r="B83" s="149"/>
      <c r="C83" s="40"/>
      <c r="D83" s="41"/>
    </row>
    <row r="84" spans="1:4" ht="8.1" customHeight="1" thickBot="1" x14ac:dyDescent="0.3">
      <c r="A84" s="4"/>
      <c r="B84" s="1"/>
      <c r="C84" s="22"/>
      <c r="D84" s="6"/>
    </row>
    <row r="85" spans="1:4" ht="18" customHeight="1" x14ac:dyDescent="0.25">
      <c r="A85" s="591" t="s">
        <v>813</v>
      </c>
      <c r="B85" s="592"/>
      <c r="C85" s="12"/>
      <c r="D85" s="150" t="s">
        <v>734</v>
      </c>
    </row>
    <row r="86" spans="1:4" ht="15.75" customHeight="1" x14ac:dyDescent="0.25">
      <c r="A86" s="209" t="s">
        <v>814</v>
      </c>
      <c r="B86" s="210" t="s">
        <v>815</v>
      </c>
      <c r="C86" s="211">
        <v>0.05</v>
      </c>
      <c r="D86" s="212">
        <f>(D$33/$C$11)*C86*C89</f>
        <v>7.1190234848484852</v>
      </c>
    </row>
    <row r="87" spans="1:4" ht="15.75" customHeight="1" x14ac:dyDescent="0.25">
      <c r="A87" s="209" t="s">
        <v>816</v>
      </c>
      <c r="B87" s="210" t="s">
        <v>817</v>
      </c>
      <c r="C87" s="211">
        <f>C56</f>
        <v>0.08</v>
      </c>
      <c r="D87" s="212">
        <f>D86*C87</f>
        <v>0.56952187878787885</v>
      </c>
    </row>
    <row r="88" spans="1:4" ht="15.75" customHeight="1" x14ac:dyDescent="0.25">
      <c r="A88" s="209" t="s">
        <v>818</v>
      </c>
      <c r="B88" s="210" t="s">
        <v>819</v>
      </c>
      <c r="C88" s="211">
        <v>0.04</v>
      </c>
      <c r="D88" s="212">
        <f>D$33*C88</f>
        <v>68.342625454545455</v>
      </c>
    </row>
    <row r="89" spans="1:4" ht="15.75" customHeight="1" x14ac:dyDescent="0.25">
      <c r="A89" s="213" t="s">
        <v>820</v>
      </c>
      <c r="B89" s="214" t="s">
        <v>821</v>
      </c>
      <c r="C89" s="215">
        <v>1</v>
      </c>
      <c r="D89" s="216">
        <v>0</v>
      </c>
    </row>
    <row r="90" spans="1:4" ht="15.75" customHeight="1" x14ac:dyDescent="0.25">
      <c r="A90" s="18" t="s">
        <v>822</v>
      </c>
      <c r="B90" s="13" t="s">
        <v>823</v>
      </c>
      <c r="C90" s="15">
        <v>0.9</v>
      </c>
      <c r="D90" s="14">
        <f>(((D$33/30)*7)/12)*C90*C93</f>
        <v>29.899898636363641</v>
      </c>
    </row>
    <row r="91" spans="1:4" ht="15.75" customHeight="1" x14ac:dyDescent="0.25">
      <c r="A91" s="18" t="s">
        <v>820</v>
      </c>
      <c r="B91" s="13" t="s">
        <v>824</v>
      </c>
      <c r="C91" s="15">
        <f>C58</f>
        <v>0.39800000000000008</v>
      </c>
      <c r="D91" s="14">
        <f>D90*C91</f>
        <v>11.900159657272731</v>
      </c>
    </row>
    <row r="92" spans="1:4" ht="15.75" customHeight="1" x14ac:dyDescent="0.25">
      <c r="A92" s="18" t="s">
        <v>822</v>
      </c>
      <c r="B92" s="13" t="s">
        <v>825</v>
      </c>
      <c r="C92" s="17">
        <v>3.8080000000000003E-2</v>
      </c>
      <c r="D92" s="14">
        <f>D$33*C92</f>
        <v>65.062179432727277</v>
      </c>
    </row>
    <row r="93" spans="1:4" ht="15.75" customHeight="1" x14ac:dyDescent="0.25">
      <c r="A93" s="66" t="s">
        <v>826</v>
      </c>
      <c r="B93" s="34" t="s">
        <v>827</v>
      </c>
      <c r="C93" s="67">
        <v>1</v>
      </c>
      <c r="D93" s="35">
        <v>0</v>
      </c>
    </row>
    <row r="94" spans="1:4" ht="15.75" customHeight="1" thickBot="1" x14ac:dyDescent="0.3">
      <c r="A94" s="593" t="s">
        <v>752</v>
      </c>
      <c r="B94" s="594"/>
      <c r="C94" s="172"/>
      <c r="D94" s="173">
        <f>SUM(D86:D88,D90:D92)</f>
        <v>182.89340854454548</v>
      </c>
    </row>
    <row r="95" spans="1:4" ht="51.75" customHeight="1" x14ac:dyDescent="0.25">
      <c r="A95" s="577" t="s">
        <v>828</v>
      </c>
      <c r="B95" s="578"/>
      <c r="C95" s="3"/>
      <c r="D95" s="41"/>
    </row>
    <row r="96" spans="1:4" ht="15.95" customHeight="1" thickBot="1" x14ac:dyDescent="0.3">
      <c r="A96" s="4"/>
      <c r="B96" s="1"/>
      <c r="C96" s="22"/>
      <c r="D96" s="6"/>
    </row>
    <row r="97" spans="1:4" ht="18" customHeight="1" x14ac:dyDescent="0.25">
      <c r="A97" s="591" t="s">
        <v>829</v>
      </c>
      <c r="B97" s="592"/>
      <c r="C97" s="12"/>
      <c r="D97" s="150" t="s">
        <v>734</v>
      </c>
    </row>
    <row r="98" spans="1:4" ht="8.1" customHeight="1" x14ac:dyDescent="0.25">
      <c r="A98" s="7"/>
      <c r="C98" s="8"/>
      <c r="D98" s="127"/>
    </row>
    <row r="99" spans="1:4" ht="15.75" customHeight="1" x14ac:dyDescent="0.25">
      <c r="A99" s="587" t="s">
        <v>830</v>
      </c>
      <c r="B99" s="588"/>
      <c r="C99" s="151"/>
      <c r="D99" s="152">
        <f>SUM(D33,D45,D102)</f>
        <v>2057.6255958727274</v>
      </c>
    </row>
    <row r="100" spans="1:4" ht="8.1" customHeight="1" x14ac:dyDescent="0.25">
      <c r="A100" s="7"/>
      <c r="C100" s="8"/>
      <c r="D100" s="127"/>
    </row>
    <row r="101" spans="1:4" ht="15.75" customHeight="1" x14ac:dyDescent="0.25">
      <c r="A101" s="587" t="s">
        <v>831</v>
      </c>
      <c r="B101" s="588"/>
      <c r="C101" s="151"/>
      <c r="D101" s="152" t="s">
        <v>734</v>
      </c>
    </row>
    <row r="102" spans="1:4" ht="15.75" customHeight="1" x14ac:dyDescent="0.25">
      <c r="A102" s="18" t="s">
        <v>832</v>
      </c>
      <c r="B102" s="13" t="s">
        <v>833</v>
      </c>
      <c r="C102" s="17">
        <v>9.0749999999999997E-2</v>
      </c>
      <c r="D102" s="14">
        <f>D$33*C102</f>
        <v>155.05233150000001</v>
      </c>
    </row>
    <row r="103" spans="1:4" ht="15.75" customHeight="1" x14ac:dyDescent="0.25">
      <c r="A103" s="18" t="s">
        <v>834</v>
      </c>
      <c r="B103" s="13" t="s">
        <v>835</v>
      </c>
      <c r="C103" s="14">
        <v>1</v>
      </c>
      <c r="D103" s="14">
        <f>((D99/30)*C103)/12</f>
        <v>5.7156266552020201</v>
      </c>
    </row>
    <row r="104" spans="1:4" ht="15.75" customHeight="1" x14ac:dyDescent="0.25">
      <c r="A104" s="18" t="s">
        <v>836</v>
      </c>
      <c r="B104" s="13" t="s">
        <v>837</v>
      </c>
      <c r="C104" s="15">
        <v>1.4999999999999999E-2</v>
      </c>
      <c r="D104" s="14">
        <f>((D99/30)*5/12)*C104</f>
        <v>0.42867199914015153</v>
      </c>
    </row>
    <row r="105" spans="1:4" ht="15.75" customHeight="1" x14ac:dyDescent="0.25">
      <c r="A105" s="18" t="s">
        <v>838</v>
      </c>
      <c r="B105" s="13" t="s">
        <v>839</v>
      </c>
      <c r="C105" s="15">
        <v>7.7999999999999996E-3</v>
      </c>
      <c r="D105" s="14">
        <f>((D99/30)*15/12)*C105</f>
        <v>0.66872831865863636</v>
      </c>
    </row>
    <row r="106" spans="1:4" ht="15.75" customHeight="1" x14ac:dyDescent="0.25">
      <c r="A106" s="18" t="s">
        <v>840</v>
      </c>
      <c r="B106" s="13" t="s">
        <v>841</v>
      </c>
      <c r="C106" s="15">
        <v>0.02</v>
      </c>
      <c r="D106" s="14">
        <f>(((D33+(D33/3))/12)*(4/12))*C106</f>
        <v>1.2656041750841751</v>
      </c>
    </row>
    <row r="107" spans="1:4" ht="15.75" customHeight="1" x14ac:dyDescent="0.25">
      <c r="A107" s="18" t="s">
        <v>842</v>
      </c>
      <c r="B107" s="13" t="s">
        <v>843</v>
      </c>
      <c r="C107" s="14">
        <v>3</v>
      </c>
      <c r="D107" s="14">
        <f>((D99/30)*C107)/12</f>
        <v>17.146879965606061</v>
      </c>
    </row>
    <row r="108" spans="1:4" ht="15.75" customHeight="1" x14ac:dyDescent="0.25">
      <c r="A108" s="18" t="s">
        <v>844</v>
      </c>
      <c r="B108" s="13" t="s">
        <v>845</v>
      </c>
      <c r="C108" s="14"/>
      <c r="D108" s="14">
        <f>((D99/30)*C108)/12</f>
        <v>0</v>
      </c>
    </row>
    <row r="109" spans="1:4" ht="15.75" customHeight="1" x14ac:dyDescent="0.25">
      <c r="A109" s="595" t="s">
        <v>752</v>
      </c>
      <c r="B109" s="588"/>
      <c r="C109" s="175"/>
      <c r="D109" s="44">
        <f>SUM(D102:D107)</f>
        <v>180.27784261369106</v>
      </c>
    </row>
    <row r="110" spans="1:4" ht="15.75" customHeight="1" x14ac:dyDescent="0.25">
      <c r="A110" s="18" t="s">
        <v>846</v>
      </c>
      <c r="B110" s="13" t="s">
        <v>847</v>
      </c>
      <c r="C110" s="15">
        <f>C58</f>
        <v>0.39800000000000008</v>
      </c>
      <c r="D110" s="14">
        <f>D109*C110</f>
        <v>71.750581360249058</v>
      </c>
    </row>
    <row r="111" spans="1:4" ht="15.75" customHeight="1" x14ac:dyDescent="0.25">
      <c r="A111" s="596" t="s">
        <v>752</v>
      </c>
      <c r="B111" s="588"/>
      <c r="C111" s="179"/>
      <c r="D111" s="178">
        <f>SUM(D109:D110)</f>
        <v>252.02842397394011</v>
      </c>
    </row>
    <row r="112" spans="1:4" ht="61.5" customHeight="1" x14ac:dyDescent="0.25">
      <c r="A112" s="577" t="s">
        <v>848</v>
      </c>
      <c r="B112" s="578"/>
      <c r="C112" s="3"/>
      <c r="D112" s="41"/>
    </row>
    <row r="113" spans="1:4" ht="8.1" customHeight="1" x14ac:dyDescent="0.25">
      <c r="A113" s="125"/>
      <c r="B113" s="42"/>
      <c r="C113" s="140"/>
      <c r="D113" s="127"/>
    </row>
    <row r="114" spans="1:4" ht="15.75" customHeight="1" x14ac:dyDescent="0.25">
      <c r="A114" s="587" t="s">
        <v>849</v>
      </c>
      <c r="B114" s="588"/>
      <c r="C114" s="151"/>
      <c r="D114" s="152" t="s">
        <v>734</v>
      </c>
    </row>
    <row r="115" spans="1:4" ht="15.75" customHeight="1" x14ac:dyDescent="0.25">
      <c r="A115" s="18" t="s">
        <v>850</v>
      </c>
      <c r="B115" s="13" t="s">
        <v>851</v>
      </c>
      <c r="C115" s="14">
        <v>0</v>
      </c>
      <c r="D115" s="14">
        <f>((D$37+D$82)/C$28)*C115*C$18</f>
        <v>0</v>
      </c>
    </row>
    <row r="116" spans="1:4" ht="15.75" customHeight="1" x14ac:dyDescent="0.25">
      <c r="A116" s="18" t="s">
        <v>852</v>
      </c>
      <c r="B116" s="13" t="s">
        <v>853</v>
      </c>
      <c r="C116" s="15">
        <f>C58</f>
        <v>0.39800000000000008</v>
      </c>
      <c r="D116" s="14">
        <f>D115*C116</f>
        <v>0</v>
      </c>
    </row>
    <row r="117" spans="1:4" ht="15.75" customHeight="1" x14ac:dyDescent="0.25">
      <c r="A117" s="596" t="s">
        <v>752</v>
      </c>
      <c r="B117" s="588"/>
      <c r="C117" s="177"/>
      <c r="D117" s="178">
        <f>SUM(D115:D116)</f>
        <v>0</v>
      </c>
    </row>
    <row r="118" spans="1:4" ht="38.25" customHeight="1" x14ac:dyDescent="0.25">
      <c r="A118" s="577"/>
      <c r="B118" s="578"/>
      <c r="C118" s="3"/>
      <c r="D118" s="41"/>
    </row>
    <row r="119" spans="1:4" ht="8.1" customHeight="1" x14ac:dyDescent="0.25">
      <c r="A119" s="7"/>
      <c r="C119" s="20"/>
      <c r="D119" s="127"/>
    </row>
    <row r="120" spans="1:4" ht="15.75" customHeight="1" x14ac:dyDescent="0.25">
      <c r="A120" s="587" t="s">
        <v>854</v>
      </c>
      <c r="B120" s="588"/>
      <c r="C120" s="151"/>
      <c r="D120" s="152" t="s">
        <v>734</v>
      </c>
    </row>
    <row r="121" spans="1:4" ht="15.75" customHeight="1" x14ac:dyDescent="0.25">
      <c r="A121" s="18" t="s">
        <v>855</v>
      </c>
      <c r="B121" s="13" t="s">
        <v>856</v>
      </c>
      <c r="C121" s="15"/>
      <c r="D121" s="14">
        <f>D111</f>
        <v>252.02842397394011</v>
      </c>
    </row>
    <row r="122" spans="1:4" ht="15.75" customHeight="1" x14ac:dyDescent="0.25">
      <c r="A122" s="18" t="s">
        <v>857</v>
      </c>
      <c r="B122" s="13" t="s">
        <v>858</v>
      </c>
      <c r="C122" s="14"/>
      <c r="D122" s="14">
        <f>D117</f>
        <v>0</v>
      </c>
    </row>
    <row r="123" spans="1:4" ht="15.75" customHeight="1" thickBot="1" x14ac:dyDescent="0.3">
      <c r="A123" s="593" t="s">
        <v>752</v>
      </c>
      <c r="B123" s="594"/>
      <c r="C123" s="172"/>
      <c r="D123" s="173">
        <f>SUM(D121:D122)</f>
        <v>252.02842397394011</v>
      </c>
    </row>
    <row r="124" spans="1:4" ht="8.1" customHeight="1" x14ac:dyDescent="0.25">
      <c r="A124" s="153"/>
      <c r="B124" s="154"/>
      <c r="C124" s="155"/>
      <c r="D124" s="156"/>
    </row>
    <row r="125" spans="1:4" ht="8.1" customHeight="1" thickBot="1" x14ac:dyDescent="0.3">
      <c r="A125" s="125"/>
      <c r="B125" s="42"/>
      <c r="C125" s="140"/>
      <c r="D125" s="127"/>
    </row>
    <row r="126" spans="1:4" ht="18" customHeight="1" x14ac:dyDescent="0.25">
      <c r="A126" s="591" t="s">
        <v>859</v>
      </c>
      <c r="B126" s="592"/>
      <c r="C126" s="12"/>
      <c r="D126" s="150" t="s">
        <v>734</v>
      </c>
    </row>
    <row r="127" spans="1:4" ht="15.75" customHeight="1" x14ac:dyDescent="0.25">
      <c r="A127" s="174" t="s">
        <v>860</v>
      </c>
      <c r="B127" s="175" t="s">
        <v>861</v>
      </c>
      <c r="C127" s="176"/>
      <c r="D127" s="44">
        <f>tbUNIFORMESL[[#Totals],[VL. MENSAL]]</f>
        <v>167.72833333333332</v>
      </c>
    </row>
    <row r="128" spans="1:4" ht="15.75" customHeight="1" x14ac:dyDescent="0.25">
      <c r="A128" s="174" t="s">
        <v>862</v>
      </c>
      <c r="B128" s="175" t="s">
        <v>863</v>
      </c>
      <c r="C128" s="176"/>
      <c r="D128" s="44">
        <v>0</v>
      </c>
    </row>
    <row r="129" spans="1:4" ht="15.75" customHeight="1" x14ac:dyDescent="0.25">
      <c r="A129" s="174" t="s">
        <v>864</v>
      </c>
      <c r="B129" s="175" t="s">
        <v>865</v>
      </c>
      <c r="C129" s="176"/>
      <c r="D129" s="44">
        <v>0</v>
      </c>
    </row>
    <row r="130" spans="1:4" ht="15.75" customHeight="1" x14ac:dyDescent="0.25">
      <c r="A130" s="174" t="s">
        <v>866</v>
      </c>
      <c r="B130" s="175" t="s">
        <v>867</v>
      </c>
      <c r="C130" s="176"/>
      <c r="D130" s="44">
        <v>0</v>
      </c>
    </row>
    <row r="131" spans="1:4" ht="15.75" customHeight="1" thickBot="1" x14ac:dyDescent="0.3">
      <c r="A131" s="593" t="s">
        <v>752</v>
      </c>
      <c r="B131" s="594"/>
      <c r="C131" s="172"/>
      <c r="D131" s="173">
        <f>SUM(D127:D130)</f>
        <v>167.72833333333332</v>
      </c>
    </row>
    <row r="132" spans="1:4" ht="15.95" customHeight="1" thickBot="1" x14ac:dyDescent="0.3">
      <c r="A132" s="4"/>
      <c r="B132" s="1"/>
      <c r="C132" s="22"/>
      <c r="D132" s="6"/>
    </row>
    <row r="133" spans="1:4" ht="18" customHeight="1" x14ac:dyDescent="0.25">
      <c r="A133" s="591" t="s">
        <v>868</v>
      </c>
      <c r="B133" s="592"/>
      <c r="C133" s="12"/>
      <c r="D133" s="150" t="s">
        <v>734</v>
      </c>
    </row>
    <row r="134" spans="1:4" ht="8.1" customHeight="1" x14ac:dyDescent="0.25">
      <c r="A134" s="7"/>
      <c r="C134" s="8"/>
      <c r="D134" s="127"/>
    </row>
    <row r="135" spans="1:4" ht="15.75" customHeight="1" x14ac:dyDescent="0.25">
      <c r="A135" s="587" t="s">
        <v>869</v>
      </c>
      <c r="B135" s="588"/>
      <c r="C135" s="151"/>
      <c r="D135" s="152">
        <f>SUM(D37,D82,D94,D123,D131)</f>
        <v>3768.6365712630741</v>
      </c>
    </row>
    <row r="136" spans="1:4" ht="8.1" customHeight="1" x14ac:dyDescent="0.25">
      <c r="A136" s="7"/>
      <c r="C136" s="8"/>
      <c r="D136" s="127"/>
    </row>
    <row r="137" spans="1:4" ht="15.75" customHeight="1" x14ac:dyDescent="0.25">
      <c r="A137" s="66" t="s">
        <v>870</v>
      </c>
      <c r="B137" s="34" t="s">
        <v>871</v>
      </c>
      <c r="C137" s="67">
        <v>0.05</v>
      </c>
      <c r="D137" s="35">
        <f>D$135*C137</f>
        <v>188.43182856315372</v>
      </c>
    </row>
    <row r="138" spans="1:4" ht="15.75" customHeight="1" x14ac:dyDescent="0.25">
      <c r="A138" s="66" t="s">
        <v>872</v>
      </c>
      <c r="B138" s="34" t="s">
        <v>873</v>
      </c>
      <c r="C138" s="67">
        <v>0.1</v>
      </c>
      <c r="D138" s="35">
        <f>SUM(D135,D137)*C138</f>
        <v>395.7068399826228</v>
      </c>
    </row>
    <row r="139" spans="1:4" ht="8.1" customHeight="1" x14ac:dyDescent="0.25">
      <c r="A139" s="7"/>
      <c r="C139" s="8"/>
      <c r="D139" s="127"/>
    </row>
    <row r="140" spans="1:4" ht="15.75" customHeight="1" x14ac:dyDescent="0.25">
      <c r="A140" s="587" t="s">
        <v>874</v>
      </c>
      <c r="B140" s="588"/>
      <c r="C140" s="151"/>
      <c r="D140" s="152">
        <f>SUM(D135,D137:D138)</f>
        <v>4352.7752398088505</v>
      </c>
    </row>
    <row r="141" spans="1:4" ht="8.1" customHeight="1" x14ac:dyDescent="0.25">
      <c r="A141" s="7"/>
      <c r="C141" s="8"/>
      <c r="D141" s="127"/>
    </row>
    <row r="142" spans="1:4" ht="15.75" customHeight="1" x14ac:dyDescent="0.25">
      <c r="A142" s="18" t="s">
        <v>875</v>
      </c>
      <c r="B142" s="13" t="s">
        <v>876</v>
      </c>
      <c r="C142" s="19">
        <f>'DADOS CCT'!D75</f>
        <v>7.5999999999999998E-2</v>
      </c>
      <c r="D142" s="14">
        <f>(D$140/(1-C$146))*C142</f>
        <v>376.99249940224803</v>
      </c>
    </row>
    <row r="143" spans="1:4" ht="15.75" customHeight="1" x14ac:dyDescent="0.25">
      <c r="A143" s="18" t="s">
        <v>877</v>
      </c>
      <c r="B143" s="13" t="s">
        <v>878</v>
      </c>
      <c r="C143" s="19">
        <f>'DADOS CCT'!D74</f>
        <v>1.6500000000000001E-2</v>
      </c>
      <c r="D143" s="14">
        <f>(D$140/(1-C$146))*C143</f>
        <v>81.84705579127754</v>
      </c>
    </row>
    <row r="144" spans="1:4" ht="15.75" customHeight="1" x14ac:dyDescent="0.25">
      <c r="A144" s="18" t="s">
        <v>879</v>
      </c>
      <c r="B144" s="13" t="s">
        <v>880</v>
      </c>
      <c r="C144" s="15"/>
      <c r="D144" s="14">
        <f>(D$140/(1-C$146))*C144</f>
        <v>0</v>
      </c>
    </row>
    <row r="145" spans="1:4" ht="15.75" customHeight="1" x14ac:dyDescent="0.25">
      <c r="A145" s="18" t="s">
        <v>881</v>
      </c>
      <c r="B145" s="13" t="s">
        <v>882</v>
      </c>
      <c r="C145" s="19">
        <f>'DADOS CCT'!D73</f>
        <v>0.03</v>
      </c>
      <c r="D145" s="14">
        <f>(D$140/(1-C$146))*C145</f>
        <v>148.81282871141369</v>
      </c>
    </row>
    <row r="146" spans="1:4" ht="15.75" customHeight="1" thickBot="1" x14ac:dyDescent="0.3">
      <c r="A146" s="599" t="s">
        <v>752</v>
      </c>
      <c r="B146" s="600"/>
      <c r="C146" s="43">
        <f>SUM(C142:C145)</f>
        <v>0.1225</v>
      </c>
      <c r="D146" s="39">
        <f>SUM(D137:D138,D142:D145)</f>
        <v>1191.7910524507158</v>
      </c>
    </row>
    <row r="147" spans="1:4" ht="15.95" customHeight="1" thickBot="1" x14ac:dyDescent="0.3">
      <c r="A147" s="4"/>
      <c r="B147" s="1"/>
      <c r="C147" s="22"/>
      <c r="D147" s="6"/>
    </row>
    <row r="148" spans="1:4" ht="18" customHeight="1" x14ac:dyDescent="0.25">
      <c r="A148" s="601" t="s">
        <v>883</v>
      </c>
      <c r="B148" s="602"/>
      <c r="C148" s="170"/>
      <c r="D148" s="171" t="s">
        <v>734</v>
      </c>
    </row>
    <row r="149" spans="1:4" ht="15.75" customHeight="1" x14ac:dyDescent="0.25">
      <c r="A149" s="45"/>
      <c r="B149" s="46" t="s">
        <v>884</v>
      </c>
      <c r="C149" s="136"/>
      <c r="D149" s="28">
        <f>D37</f>
        <v>1708.5656363636365</v>
      </c>
    </row>
    <row r="150" spans="1:4" ht="15.75" customHeight="1" x14ac:dyDescent="0.25">
      <c r="A150" s="45"/>
      <c r="B150" s="46" t="s">
        <v>885</v>
      </c>
      <c r="C150" s="136"/>
      <c r="D150" s="28">
        <f>D82</f>
        <v>1457.4207690476183</v>
      </c>
    </row>
    <row r="151" spans="1:4" ht="15.75" customHeight="1" x14ac:dyDescent="0.25">
      <c r="A151" s="45"/>
      <c r="B151" s="46" t="s">
        <v>886</v>
      </c>
      <c r="C151" s="143"/>
      <c r="D151" s="28">
        <f>D94</f>
        <v>182.89340854454548</v>
      </c>
    </row>
    <row r="152" spans="1:4" ht="15.75" customHeight="1" x14ac:dyDescent="0.25">
      <c r="A152" s="45"/>
      <c r="B152" s="46" t="s">
        <v>887</v>
      </c>
      <c r="C152" s="136"/>
      <c r="D152" s="28">
        <f>D123</f>
        <v>252.02842397394011</v>
      </c>
    </row>
    <row r="153" spans="1:4" ht="15.75" customHeight="1" x14ac:dyDescent="0.25">
      <c r="A153" s="45"/>
      <c r="B153" s="46" t="s">
        <v>888</v>
      </c>
      <c r="C153" s="136"/>
      <c r="D153" s="28">
        <f>D131</f>
        <v>167.72833333333332</v>
      </c>
    </row>
    <row r="154" spans="1:4" ht="15.75" customHeight="1" x14ac:dyDescent="0.25">
      <c r="A154" s="585" t="s">
        <v>752</v>
      </c>
      <c r="B154" s="412"/>
      <c r="C154" s="137"/>
      <c r="D154" s="138">
        <f>SUM(D149:D153)</f>
        <v>3768.6365712630741</v>
      </c>
    </row>
    <row r="155" spans="1:4" ht="15.75" customHeight="1" x14ac:dyDescent="0.25">
      <c r="A155" s="45"/>
      <c r="B155" s="46" t="s">
        <v>889</v>
      </c>
      <c r="C155" s="143"/>
      <c r="D155" s="28">
        <f>D146</f>
        <v>1191.7910524507158</v>
      </c>
    </row>
    <row r="156" spans="1:4" ht="15.75" customHeight="1" thickBot="1" x14ac:dyDescent="0.35">
      <c r="A156" s="603" t="s">
        <v>890</v>
      </c>
      <c r="B156" s="604"/>
      <c r="C156" s="168"/>
      <c r="D156" s="169">
        <f>TRUNC(SUM(D154:D155),2)</f>
        <v>4960.42</v>
      </c>
    </row>
    <row r="157" spans="1:4" ht="8.1" customHeight="1" thickBot="1" x14ac:dyDescent="0.3">
      <c r="A157" s="9"/>
      <c r="B157" s="10"/>
      <c r="C157" s="21"/>
      <c r="D157" s="11"/>
    </row>
    <row r="158" spans="1:4" ht="15.75" customHeight="1" thickBot="1" x14ac:dyDescent="0.3">
      <c r="A158" s="605" t="s">
        <v>891</v>
      </c>
      <c r="B158" s="470"/>
      <c r="C158" s="166"/>
      <c r="D158" s="167">
        <v>1</v>
      </c>
    </row>
    <row r="159" spans="1:4" ht="8.1" customHeight="1" thickBot="1" x14ac:dyDescent="0.3">
      <c r="A159" s="9"/>
      <c r="B159" s="10"/>
      <c r="C159" s="21"/>
      <c r="D159" s="11"/>
    </row>
    <row r="160" spans="1:4" ht="15.75" customHeight="1" thickBot="1" x14ac:dyDescent="0.35">
      <c r="A160" s="597" t="s">
        <v>892</v>
      </c>
      <c r="B160" s="598"/>
      <c r="C160" s="164"/>
      <c r="D160" s="165">
        <f>TRUNC(D156*D158,2)</f>
        <v>4960.42</v>
      </c>
    </row>
    <row r="161" spans="1:4" ht="15.95" customHeight="1" thickBot="1" x14ac:dyDescent="0.3"/>
    <row r="162" spans="1:4" ht="15.75" customHeight="1" thickBot="1" x14ac:dyDescent="0.35">
      <c r="A162" s="561" t="s">
        <v>893</v>
      </c>
      <c r="B162" s="562"/>
      <c r="C162" s="162"/>
      <c r="D162" s="163">
        <f>D156/D37</f>
        <v>2.9032656951695044</v>
      </c>
    </row>
    <row r="163" spans="1:4" ht="15.95" customHeight="1" thickBot="1" x14ac:dyDescent="0.3">
      <c r="A163" s="33"/>
      <c r="B163" s="33"/>
      <c r="C163" s="33"/>
    </row>
    <row r="164" spans="1:4" ht="15.75" customHeight="1" x14ac:dyDescent="0.3">
      <c r="A164" s="551" t="s">
        <v>894</v>
      </c>
      <c r="B164" s="551"/>
      <c r="C164" s="160"/>
      <c r="D164" s="161"/>
    </row>
    <row r="165" spans="1:4" ht="15" customHeight="1" thickBot="1" x14ac:dyDescent="0.3">
      <c r="A165" s="157"/>
      <c r="B165" s="157" t="s">
        <v>895</v>
      </c>
      <c r="C165" s="157"/>
      <c r="D165" s="158">
        <f>TRUNC(D156/C$18,2)</f>
        <v>236.21</v>
      </c>
    </row>
  </sheetData>
  <mergeCells count="65">
    <mergeCell ref="C15:D15"/>
    <mergeCell ref="C3:D3"/>
    <mergeCell ref="C4:D4"/>
    <mergeCell ref="C5:D5"/>
    <mergeCell ref="A7:B7"/>
    <mergeCell ref="C8:D8"/>
    <mergeCell ref="C9:D9"/>
    <mergeCell ref="C10:D10"/>
    <mergeCell ref="C11:D11"/>
    <mergeCell ref="C12:D12"/>
    <mergeCell ref="C13:D13"/>
    <mergeCell ref="C14:D14"/>
    <mergeCell ref="A33:B33"/>
    <mergeCell ref="C16:D16"/>
    <mergeCell ref="C17:D17"/>
    <mergeCell ref="C18:D18"/>
    <mergeCell ref="C19:D19"/>
    <mergeCell ref="C20:D20"/>
    <mergeCell ref="C21:D21"/>
    <mergeCell ref="C22:D22"/>
    <mergeCell ref="C23:D23"/>
    <mergeCell ref="A25:B25"/>
    <mergeCell ref="C25:D25"/>
    <mergeCell ref="A27:B27"/>
    <mergeCell ref="A76:B76"/>
    <mergeCell ref="A37:B37"/>
    <mergeCell ref="A38:B38"/>
    <mergeCell ref="A40:B40"/>
    <mergeCell ref="A42:B42"/>
    <mergeCell ref="A45:B45"/>
    <mergeCell ref="A46:B46"/>
    <mergeCell ref="A48:B48"/>
    <mergeCell ref="A58:B58"/>
    <mergeCell ref="A59:B59"/>
    <mergeCell ref="A61:B61"/>
    <mergeCell ref="A75:B75"/>
    <mergeCell ref="A114:B114"/>
    <mergeCell ref="A78:B78"/>
    <mergeCell ref="A82:B82"/>
    <mergeCell ref="A85:B85"/>
    <mergeCell ref="A94:B94"/>
    <mergeCell ref="A95:B95"/>
    <mergeCell ref="A97:B97"/>
    <mergeCell ref="A99:B99"/>
    <mergeCell ref="A101:B101"/>
    <mergeCell ref="A109:B109"/>
    <mergeCell ref="A111:B111"/>
    <mergeCell ref="A112:B112"/>
    <mergeCell ref="A154:B154"/>
    <mergeCell ref="A117:B117"/>
    <mergeCell ref="A118:B118"/>
    <mergeCell ref="A120:B120"/>
    <mergeCell ref="A123:B123"/>
    <mergeCell ref="A126:B126"/>
    <mergeCell ref="A131:B131"/>
    <mergeCell ref="A133:B133"/>
    <mergeCell ref="A135:B135"/>
    <mergeCell ref="A140:B140"/>
    <mergeCell ref="A146:B146"/>
    <mergeCell ref="A148:B148"/>
    <mergeCell ref="A156:B156"/>
    <mergeCell ref="A158:B158"/>
    <mergeCell ref="A160:B160"/>
    <mergeCell ref="A162:B162"/>
    <mergeCell ref="A164:B164"/>
  </mergeCells>
  <pageMargins left="0.70866141732283472" right="0.70866141732283472" top="0.74803149606299213" bottom="0.74803149606299213" header="0" footer="0"/>
  <pageSetup paperSize="9" scale="80" fitToHeight="0" orientation="portrait" r:id="rId1"/>
  <rowBreaks count="4" manualBreakCount="4">
    <brk id="38" max="3" man="1"/>
    <brk id="83" max="3" man="1"/>
    <brk id="90" max="16383" man="1"/>
    <brk id="124" max="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93CE9-8BE5-4E11-B794-A9D705977329}">
  <sheetPr>
    <tabColor theme="7" tint="0.79998168889431442"/>
    <outlinePr summaryBelow="0"/>
    <pageSetUpPr fitToPage="1"/>
  </sheetPr>
  <dimension ref="A1:D165"/>
  <sheetViews>
    <sheetView workbookViewId="0"/>
  </sheetViews>
  <sheetFormatPr defaultColWidth="14.42578125" defaultRowHeight="15" customHeight="1" x14ac:dyDescent="0.25"/>
  <cols>
    <col min="1" max="1" width="6.7109375" customWidth="1"/>
    <col min="2" max="2" width="64.7109375" customWidth="1"/>
    <col min="3" max="3" width="18.7109375" customWidth="1"/>
    <col min="4" max="4" width="18.7109375" style="33" customWidth="1"/>
    <col min="5" max="16384" width="14.42578125" style="159"/>
  </cols>
  <sheetData>
    <row r="1" spans="1:4" ht="40.5" customHeight="1" x14ac:dyDescent="0.25">
      <c r="A1" s="38"/>
      <c r="B1" s="313" t="s">
        <v>692</v>
      </c>
      <c r="C1" s="37"/>
      <c r="D1" s="37"/>
    </row>
    <row r="2" spans="1:4" ht="15.95" customHeight="1" thickBot="1" x14ac:dyDescent="0.3">
      <c r="A2" s="125"/>
      <c r="B2" s="42"/>
      <c r="C2" s="126"/>
      <c r="D2" s="127"/>
    </row>
    <row r="3" spans="1:4" ht="15" customHeight="1" x14ac:dyDescent="0.25">
      <c r="A3" s="192"/>
      <c r="B3" s="314" t="s">
        <v>693</v>
      </c>
      <c r="C3" s="552"/>
      <c r="D3" s="552"/>
    </row>
    <row r="4" spans="1:4" ht="15" customHeight="1" x14ac:dyDescent="0.25">
      <c r="A4" s="193"/>
      <c r="B4" s="274" t="s">
        <v>694</v>
      </c>
      <c r="C4" s="553"/>
      <c r="D4" s="553"/>
    </row>
    <row r="5" spans="1:4" ht="15.75" customHeight="1" thickBot="1" x14ac:dyDescent="0.3">
      <c r="A5" s="194"/>
      <c r="B5" s="195" t="s">
        <v>695</v>
      </c>
      <c r="C5" s="554"/>
      <c r="D5" s="554"/>
    </row>
    <row r="6" spans="1:4" ht="15.95" customHeight="1" thickBot="1" x14ac:dyDescent="0.3">
      <c r="A6" s="125"/>
      <c r="B6" s="42"/>
      <c r="C6" s="126"/>
      <c r="D6" s="127"/>
    </row>
    <row r="7" spans="1:4" ht="15" customHeight="1" x14ac:dyDescent="0.25">
      <c r="A7" s="563" t="s">
        <v>696</v>
      </c>
      <c r="B7" s="564"/>
      <c r="C7" s="128"/>
      <c r="D7" s="129"/>
    </row>
    <row r="8" spans="1:4" ht="15" customHeight="1" x14ac:dyDescent="0.25">
      <c r="A8" s="45" t="s">
        <v>697</v>
      </c>
      <c r="B8" s="263" t="s">
        <v>698</v>
      </c>
      <c r="C8" s="555"/>
      <c r="D8" s="555"/>
    </row>
    <row r="9" spans="1:4" ht="15" customHeight="1" x14ac:dyDescent="0.25">
      <c r="A9" s="45" t="s">
        <v>699</v>
      </c>
      <c r="B9" s="263" t="s">
        <v>700</v>
      </c>
      <c r="C9" s="555" t="str">
        <f>'DADOS CCT'!B61</f>
        <v>PALMEIRA DAS MISSÕES</v>
      </c>
      <c r="D9" s="555"/>
    </row>
    <row r="10" spans="1:4" ht="15" customHeight="1" x14ac:dyDescent="0.25">
      <c r="A10" s="45" t="s">
        <v>701</v>
      </c>
      <c r="B10" s="263" t="s">
        <v>702</v>
      </c>
      <c r="C10" s="555" t="str">
        <f>'DADOS CCT'!C61&amp;" - "&amp;'DADOS CCT'!D62</f>
        <v>SINDILIMP/RS - RS000044/2024</v>
      </c>
      <c r="D10" s="555"/>
    </row>
    <row r="11" spans="1:4" ht="15" customHeight="1" x14ac:dyDescent="0.25">
      <c r="A11" s="45" t="s">
        <v>703</v>
      </c>
      <c r="B11" s="263" t="s">
        <v>704</v>
      </c>
      <c r="C11" s="556">
        <v>12</v>
      </c>
      <c r="D11" s="556"/>
    </row>
    <row r="12" spans="1:4" ht="15" customHeight="1" x14ac:dyDescent="0.25">
      <c r="A12" s="45" t="s">
        <v>705</v>
      </c>
      <c r="B12" s="263" t="s">
        <v>706</v>
      </c>
      <c r="C12" s="557">
        <f>'DADOS CCT'!D63</f>
        <v>45292</v>
      </c>
      <c r="D12" s="557"/>
    </row>
    <row r="13" spans="1:4" ht="29.25" customHeight="1" x14ac:dyDescent="0.25">
      <c r="A13" s="45" t="s">
        <v>707</v>
      </c>
      <c r="B13" s="315" t="s">
        <v>708</v>
      </c>
      <c r="C13" s="558" t="s">
        <v>709</v>
      </c>
      <c r="D13" s="558"/>
    </row>
    <row r="14" spans="1:4" x14ac:dyDescent="0.25">
      <c r="A14" s="130" t="s">
        <v>710</v>
      </c>
      <c r="B14" s="131" t="s">
        <v>711</v>
      </c>
      <c r="C14" s="559" t="s">
        <v>712</v>
      </c>
      <c r="D14" s="559"/>
    </row>
    <row r="15" spans="1:4" x14ac:dyDescent="0.25">
      <c r="A15" s="130" t="s">
        <v>713</v>
      </c>
      <c r="B15" s="131" t="s">
        <v>714</v>
      </c>
      <c r="C15" s="559" t="s">
        <v>897</v>
      </c>
      <c r="D15" s="559"/>
    </row>
    <row r="16" spans="1:4" x14ac:dyDescent="0.25">
      <c r="A16" s="130" t="s">
        <v>716</v>
      </c>
      <c r="B16" s="131" t="s">
        <v>717</v>
      </c>
      <c r="C16" s="559" t="str">
        <f ca="1">RIGHT(CELL("nome.arquivo",A1),LEN(CELL("nome.arquivo",A1))-SEARCH("]",CELL("nome.arquivo",A1)))</f>
        <v>5143-20 AUX.LB 5x2 DIURNO PM</v>
      </c>
      <c r="D16" s="559"/>
    </row>
    <row r="17" spans="1:4" x14ac:dyDescent="0.25">
      <c r="A17" s="130" t="s">
        <v>718</v>
      </c>
      <c r="B17" s="131" t="s">
        <v>719</v>
      </c>
      <c r="C17" s="560" t="s">
        <v>1197</v>
      </c>
      <c r="D17" s="560"/>
    </row>
    <row r="18" spans="1:4" x14ac:dyDescent="0.25">
      <c r="A18" s="130" t="s">
        <v>721</v>
      </c>
      <c r="B18" s="131" t="s">
        <v>722</v>
      </c>
      <c r="C18" s="560">
        <v>21</v>
      </c>
      <c r="D18" s="560"/>
    </row>
    <row r="19" spans="1:4" ht="15.75" customHeight="1" x14ac:dyDescent="0.25">
      <c r="A19" s="130" t="s">
        <v>723</v>
      </c>
      <c r="B19" s="131" t="s">
        <v>724</v>
      </c>
      <c r="C19" s="560">
        <f>'DADOS CCT'!D64</f>
        <v>1540.51</v>
      </c>
      <c r="D19" s="560"/>
    </row>
    <row r="20" spans="1:4" ht="15.75" customHeight="1" x14ac:dyDescent="0.25">
      <c r="A20" s="130" t="s">
        <v>725</v>
      </c>
      <c r="B20" s="132" t="s">
        <v>726</v>
      </c>
      <c r="C20" s="573">
        <f>C19/220</f>
        <v>7.0023181818181817</v>
      </c>
      <c r="D20" s="573"/>
    </row>
    <row r="21" spans="1:4" ht="15.75" customHeight="1" x14ac:dyDescent="0.25">
      <c r="A21" s="130" t="s">
        <v>727</v>
      </c>
      <c r="B21" s="132" t="s">
        <v>728</v>
      </c>
      <c r="C21" s="573">
        <f>C20*1.5</f>
        <v>10.503477272727272</v>
      </c>
      <c r="D21" s="573"/>
    </row>
    <row r="22" spans="1:4" ht="15.75" customHeight="1" x14ac:dyDescent="0.25">
      <c r="A22" s="130" t="s">
        <v>729</v>
      </c>
      <c r="B22" s="132" t="s">
        <v>730</v>
      </c>
      <c r="C22" s="573">
        <f>C20*2</f>
        <v>14.004636363636363</v>
      </c>
      <c r="D22" s="573"/>
    </row>
    <row r="23" spans="1:4" ht="15.75" customHeight="1" thickBot="1" x14ac:dyDescent="0.3">
      <c r="A23" s="133" t="s">
        <v>731</v>
      </c>
      <c r="B23" s="134" t="s">
        <v>732</v>
      </c>
      <c r="C23" s="574">
        <f>C20*0.2</f>
        <v>1.4004636363636365</v>
      </c>
      <c r="D23" s="574"/>
    </row>
    <row r="24" spans="1:4" ht="15.95" customHeight="1" thickBot="1" x14ac:dyDescent="0.3">
      <c r="A24" s="125"/>
      <c r="B24" s="42"/>
      <c r="C24" s="126"/>
      <c r="D24" s="127"/>
    </row>
    <row r="25" spans="1:4" ht="15.75" thickBot="1" x14ac:dyDescent="0.3">
      <c r="A25" s="565"/>
      <c r="B25" s="566"/>
      <c r="C25" s="567" t="str">
        <f>'DADOS CCT'!D3</f>
        <v>00 - VALOR ESTIMADO</v>
      </c>
      <c r="D25" s="568"/>
    </row>
    <row r="26" spans="1:4" ht="6" customHeight="1" thickBot="1" x14ac:dyDescent="0.3">
      <c r="A26" s="4"/>
      <c r="B26" s="1"/>
      <c r="C26" s="5"/>
      <c r="D26" s="6"/>
    </row>
    <row r="27" spans="1:4" ht="18" customHeight="1" x14ac:dyDescent="0.25">
      <c r="A27" s="569" t="s">
        <v>733</v>
      </c>
      <c r="B27" s="570"/>
      <c r="C27" s="190"/>
      <c r="D27" s="191" t="s">
        <v>734</v>
      </c>
    </row>
    <row r="28" spans="1:4" ht="15.75" customHeight="1" x14ac:dyDescent="0.25">
      <c r="A28" s="45" t="s">
        <v>735</v>
      </c>
      <c r="B28" s="46" t="s">
        <v>736</v>
      </c>
      <c r="C28" s="135">
        <v>200</v>
      </c>
      <c r="D28" s="28">
        <f>C28*C19/220</f>
        <v>1400.4636363636364</v>
      </c>
    </row>
    <row r="29" spans="1:4" ht="15.75" customHeight="1" x14ac:dyDescent="0.25">
      <c r="A29" s="45" t="s">
        <v>737</v>
      </c>
      <c r="B29" s="46" t="s">
        <v>738</v>
      </c>
      <c r="C29" s="136"/>
      <c r="D29" s="28">
        <f>D$28*C29</f>
        <v>0</v>
      </c>
    </row>
    <row r="30" spans="1:4" ht="15.75" customHeight="1" x14ac:dyDescent="0.25">
      <c r="A30" s="45" t="s">
        <v>739</v>
      </c>
      <c r="B30" s="46" t="s">
        <v>740</v>
      </c>
      <c r="C30" s="136">
        <v>0.4</v>
      </c>
      <c r="D30" s="208">
        <f>C30*C19</f>
        <v>616.20400000000006</v>
      </c>
    </row>
    <row r="31" spans="1:4" ht="15.75" customHeight="1" x14ac:dyDescent="0.25">
      <c r="A31" s="45" t="s">
        <v>741</v>
      </c>
      <c r="B31" s="46" t="s">
        <v>742</v>
      </c>
      <c r="C31" s="28"/>
      <c r="D31" s="28">
        <f>(D28/C28)*0.2*C31*(60/52.5)</f>
        <v>0</v>
      </c>
    </row>
    <row r="32" spans="1:4" ht="15.75" customHeight="1" x14ac:dyDescent="0.25">
      <c r="A32" s="45" t="s">
        <v>743</v>
      </c>
      <c r="B32" s="46" t="s">
        <v>744</v>
      </c>
      <c r="C32" s="28"/>
      <c r="D32" s="28">
        <f>(D28/C28)*1.5*C32</f>
        <v>0</v>
      </c>
    </row>
    <row r="33" spans="1:4" ht="15.75" customHeight="1" x14ac:dyDescent="0.25">
      <c r="A33" s="571" t="s">
        <v>745</v>
      </c>
      <c r="B33" s="572"/>
      <c r="C33" s="184"/>
      <c r="D33" s="185">
        <f>SUM(D28:D32)</f>
        <v>2016.6676363636366</v>
      </c>
    </row>
    <row r="34" spans="1:4" ht="15.75" customHeight="1" x14ac:dyDescent="0.25">
      <c r="A34" s="45" t="s">
        <v>746</v>
      </c>
      <c r="B34" s="46" t="s">
        <v>747</v>
      </c>
      <c r="C34" s="28"/>
      <c r="D34" s="28">
        <f>15*C34*(D28/C28)*1.5</f>
        <v>0</v>
      </c>
    </row>
    <row r="35" spans="1:4" ht="15.75" customHeight="1" x14ac:dyDescent="0.25">
      <c r="A35" s="45" t="s">
        <v>748</v>
      </c>
      <c r="B35" s="46" t="s">
        <v>749</v>
      </c>
      <c r="C35" s="139">
        <f>'DADOS CCT'!D66</f>
        <v>0</v>
      </c>
      <c r="D35" s="28">
        <f>D28*C35</f>
        <v>0</v>
      </c>
    </row>
    <row r="36" spans="1:4" ht="15.75" customHeight="1" x14ac:dyDescent="0.25">
      <c r="A36" s="45" t="s">
        <v>750</v>
      </c>
      <c r="B36" s="46" t="s">
        <v>751</v>
      </c>
      <c r="C36" s="136"/>
      <c r="D36" s="28">
        <f>D$28*C36</f>
        <v>0</v>
      </c>
    </row>
    <row r="37" spans="1:4" ht="15.75" customHeight="1" thickBot="1" x14ac:dyDescent="0.3">
      <c r="A37" s="575" t="s">
        <v>752</v>
      </c>
      <c r="B37" s="576"/>
      <c r="C37" s="188"/>
      <c r="D37" s="189">
        <f>SUM(D33:D36)</f>
        <v>2016.6676363636366</v>
      </c>
    </row>
    <row r="38" spans="1:4" ht="24" customHeight="1" x14ac:dyDescent="0.25">
      <c r="A38" s="577" t="s">
        <v>1233</v>
      </c>
      <c r="B38" s="578"/>
      <c r="C38" s="8"/>
      <c r="D38" s="127"/>
    </row>
    <row r="39" spans="1:4" ht="8.1" customHeight="1" thickBot="1" x14ac:dyDescent="0.3">
      <c r="A39" s="7"/>
      <c r="B39" s="16"/>
      <c r="C39" s="8"/>
      <c r="D39" s="127"/>
    </row>
    <row r="40" spans="1:4" ht="18" customHeight="1" x14ac:dyDescent="0.25">
      <c r="A40" s="579" t="s">
        <v>753</v>
      </c>
      <c r="B40" s="580"/>
      <c r="C40" s="142"/>
      <c r="D40" s="187"/>
    </row>
    <row r="41" spans="1:4" ht="6" customHeight="1" x14ac:dyDescent="0.25">
      <c r="A41" s="125"/>
      <c r="B41" s="42"/>
      <c r="C41" s="126"/>
      <c r="D41" s="127"/>
    </row>
    <row r="42" spans="1:4" ht="15.75" customHeight="1" x14ac:dyDescent="0.25">
      <c r="A42" s="581" t="s">
        <v>754</v>
      </c>
      <c r="B42" s="572"/>
      <c r="C42" s="182"/>
      <c r="D42" s="183" t="s">
        <v>734</v>
      </c>
    </row>
    <row r="43" spans="1:4" ht="15" customHeight="1" x14ac:dyDescent="0.25">
      <c r="A43" s="45" t="s">
        <v>755</v>
      </c>
      <c r="B43" s="46" t="s">
        <v>756</v>
      </c>
      <c r="C43" s="136">
        <v>8.3299999999999999E-2</v>
      </c>
      <c r="D43" s="28">
        <f>D$33*C43</f>
        <v>167.98841410909091</v>
      </c>
    </row>
    <row r="44" spans="1:4" ht="15" customHeight="1" x14ac:dyDescent="0.25">
      <c r="A44" s="45" t="s">
        <v>757</v>
      </c>
      <c r="B44" s="46" t="s">
        <v>758</v>
      </c>
      <c r="C44" s="143">
        <v>3.0249999999999999E-2</v>
      </c>
      <c r="D44" s="28">
        <f>D$33*C44</f>
        <v>61.004196000000007</v>
      </c>
    </row>
    <row r="45" spans="1:4" ht="15.75" customHeight="1" x14ac:dyDescent="0.25">
      <c r="A45" s="582" t="s">
        <v>752</v>
      </c>
      <c r="B45" s="572"/>
      <c r="C45" s="186"/>
      <c r="D45" s="185">
        <f>SUM(D43:D44)</f>
        <v>228.99261010909092</v>
      </c>
    </row>
    <row r="46" spans="1:4" ht="37.5" customHeight="1" x14ac:dyDescent="0.25">
      <c r="A46" s="583" t="s">
        <v>759</v>
      </c>
      <c r="B46" s="584"/>
      <c r="C46" s="141"/>
      <c r="D46" s="41"/>
    </row>
    <row r="47" spans="1:4" ht="8.1" customHeight="1" x14ac:dyDescent="0.25">
      <c r="A47" s="125"/>
      <c r="B47" s="33"/>
      <c r="C47" s="126"/>
      <c r="D47" s="127"/>
    </row>
    <row r="48" spans="1:4" ht="15.75" customHeight="1" x14ac:dyDescent="0.25">
      <c r="A48" s="581" t="s">
        <v>760</v>
      </c>
      <c r="B48" s="572"/>
      <c r="C48" s="182"/>
      <c r="D48" s="183" t="s">
        <v>734</v>
      </c>
    </row>
    <row r="49" spans="1:4" ht="15" customHeight="1" x14ac:dyDescent="0.25">
      <c r="A49" s="45" t="s">
        <v>761</v>
      </c>
      <c r="B49" s="46" t="s">
        <v>762</v>
      </c>
      <c r="C49" s="136">
        <v>0.2</v>
      </c>
      <c r="D49" s="28">
        <f t="shared" ref="D49:D57" si="0">(D$33+D$45)*C49</f>
        <v>449.13204929454554</v>
      </c>
    </row>
    <row r="50" spans="1:4" ht="15" customHeight="1" x14ac:dyDescent="0.25">
      <c r="A50" s="45" t="s">
        <v>763</v>
      </c>
      <c r="B50" s="46" t="s">
        <v>764</v>
      </c>
      <c r="C50" s="136">
        <v>2.5000000000000001E-2</v>
      </c>
      <c r="D50" s="28">
        <f t="shared" si="0"/>
        <v>56.141506161818192</v>
      </c>
    </row>
    <row r="51" spans="1:4" ht="15" customHeight="1" x14ac:dyDescent="0.25">
      <c r="A51" s="45" t="s">
        <v>765</v>
      </c>
      <c r="B51" s="46" t="s">
        <v>766</v>
      </c>
      <c r="C51" s="144">
        <f>'DADOS CCT'!D$76*'DADOS CCT'!D$77</f>
        <v>0.06</v>
      </c>
      <c r="D51" s="28">
        <f t="shared" si="0"/>
        <v>134.73961478836364</v>
      </c>
    </row>
    <row r="52" spans="1:4" ht="15" customHeight="1" x14ac:dyDescent="0.25">
      <c r="A52" s="45" t="s">
        <v>767</v>
      </c>
      <c r="B52" s="46" t="s">
        <v>768</v>
      </c>
      <c r="C52" s="136">
        <v>1.4999999999999999E-2</v>
      </c>
      <c r="D52" s="28">
        <f t="shared" si="0"/>
        <v>33.68490369709091</v>
      </c>
    </row>
    <row r="53" spans="1:4" ht="15" customHeight="1" x14ac:dyDescent="0.25">
      <c r="A53" s="45" t="s">
        <v>769</v>
      </c>
      <c r="B53" s="46" t="s">
        <v>770</v>
      </c>
      <c r="C53" s="136">
        <v>0.01</v>
      </c>
      <c r="D53" s="28">
        <f t="shared" si="0"/>
        <v>22.456602464727276</v>
      </c>
    </row>
    <row r="54" spans="1:4" ht="15" customHeight="1" x14ac:dyDescent="0.25">
      <c r="A54" s="45" t="s">
        <v>771</v>
      </c>
      <c r="B54" s="46" t="s">
        <v>772</v>
      </c>
      <c r="C54" s="136">
        <v>6.0000000000000001E-3</v>
      </c>
      <c r="D54" s="28">
        <f t="shared" si="0"/>
        <v>13.473961478836365</v>
      </c>
    </row>
    <row r="55" spans="1:4" ht="15" customHeight="1" x14ac:dyDescent="0.25">
      <c r="A55" s="45" t="s">
        <v>773</v>
      </c>
      <c r="B55" s="46" t="s">
        <v>774</v>
      </c>
      <c r="C55" s="136">
        <v>2E-3</v>
      </c>
      <c r="D55" s="28">
        <f t="shared" si="0"/>
        <v>4.4913204929454551</v>
      </c>
    </row>
    <row r="56" spans="1:4" ht="15" customHeight="1" x14ac:dyDescent="0.25">
      <c r="A56" s="45" t="s">
        <v>775</v>
      </c>
      <c r="B56" s="46" t="s">
        <v>776</v>
      </c>
      <c r="C56" s="136">
        <v>0.08</v>
      </c>
      <c r="D56" s="28">
        <f t="shared" si="0"/>
        <v>179.6528197178182</v>
      </c>
    </row>
    <row r="57" spans="1:4" ht="15" customHeight="1" x14ac:dyDescent="0.25">
      <c r="A57" s="45" t="s">
        <v>777</v>
      </c>
      <c r="B57" s="46" t="s">
        <v>778</v>
      </c>
      <c r="C57" s="136"/>
      <c r="D57" s="28">
        <f t="shared" si="0"/>
        <v>0</v>
      </c>
    </row>
    <row r="58" spans="1:4" ht="15.75" customHeight="1" x14ac:dyDescent="0.25">
      <c r="A58" s="585" t="s">
        <v>752</v>
      </c>
      <c r="B58" s="412"/>
      <c r="C58" s="137">
        <f>SUM(C49:C50,C51:C57)</f>
        <v>0.39800000000000008</v>
      </c>
      <c r="D58" s="138">
        <f>SUM(D49:D57)</f>
        <v>893.77277809614566</v>
      </c>
    </row>
    <row r="59" spans="1:4" ht="20.25" customHeight="1" x14ac:dyDescent="0.25">
      <c r="A59" s="583" t="s">
        <v>779</v>
      </c>
      <c r="B59" s="586"/>
      <c r="C59" s="141"/>
      <c r="D59" s="41"/>
    </row>
    <row r="60" spans="1:4" ht="8.1" customHeight="1" x14ac:dyDescent="0.25">
      <c r="A60" s="125"/>
      <c r="B60" s="33"/>
      <c r="C60" s="140"/>
      <c r="D60" s="127"/>
    </row>
    <row r="61" spans="1:4" ht="15.75" customHeight="1" x14ac:dyDescent="0.25">
      <c r="A61" s="581" t="s">
        <v>780</v>
      </c>
      <c r="B61" s="572"/>
      <c r="C61" s="182"/>
      <c r="D61" s="183" t="s">
        <v>734</v>
      </c>
    </row>
    <row r="62" spans="1:4" ht="15.75" customHeight="1" x14ac:dyDescent="0.25">
      <c r="A62" s="45" t="s">
        <v>781</v>
      </c>
      <c r="B62" s="46" t="s">
        <v>782</v>
      </c>
      <c r="C62" s="145"/>
      <c r="D62" s="138">
        <f>((C63*C64*C65)-D66)*C67</f>
        <v>83.972181818181824</v>
      </c>
    </row>
    <row r="63" spans="1:4" ht="15.75" customHeight="1" x14ac:dyDescent="0.25">
      <c r="A63" s="45" t="s">
        <v>783</v>
      </c>
      <c r="B63" s="46" t="s">
        <v>784</v>
      </c>
      <c r="C63" s="146">
        <f>'DADOS CCT'!D67</f>
        <v>4</v>
      </c>
      <c r="D63" s="28">
        <v>0</v>
      </c>
    </row>
    <row r="64" spans="1:4" ht="15.75" customHeight="1" x14ac:dyDescent="0.25">
      <c r="A64" s="45" t="s">
        <v>785</v>
      </c>
      <c r="B64" s="46" t="s">
        <v>786</v>
      </c>
      <c r="C64" s="28">
        <v>2</v>
      </c>
      <c r="D64" s="28">
        <v>0</v>
      </c>
    </row>
    <row r="65" spans="1:4" ht="15.75" customHeight="1" x14ac:dyDescent="0.25">
      <c r="A65" s="45" t="s">
        <v>787</v>
      </c>
      <c r="B65" s="46" t="s">
        <v>788</v>
      </c>
      <c r="C65" s="147">
        <f>C$18</f>
        <v>21</v>
      </c>
      <c r="D65" s="28">
        <v>0</v>
      </c>
    </row>
    <row r="66" spans="1:4" ht="15.75" customHeight="1" x14ac:dyDescent="0.25">
      <c r="A66" s="45" t="s">
        <v>789</v>
      </c>
      <c r="B66" s="46" t="s">
        <v>790</v>
      </c>
      <c r="C66" s="136">
        <v>0.06</v>
      </c>
      <c r="D66" s="28">
        <f>C66*D$28</f>
        <v>84.027818181818176</v>
      </c>
    </row>
    <row r="67" spans="1:4" ht="15.75" customHeight="1" x14ac:dyDescent="0.25">
      <c r="A67" s="45" t="s">
        <v>791</v>
      </c>
      <c r="B67" s="46" t="s">
        <v>792</v>
      </c>
      <c r="C67" s="144">
        <f>'DADOS CCT'!D68</f>
        <v>1</v>
      </c>
      <c r="D67" s="28">
        <v>0</v>
      </c>
    </row>
    <row r="68" spans="1:4" ht="15.75" customHeight="1" x14ac:dyDescent="0.25">
      <c r="A68" s="45" t="s">
        <v>793</v>
      </c>
      <c r="B68" s="46" t="s">
        <v>794</v>
      </c>
      <c r="C68" s="136"/>
      <c r="D68" s="138">
        <f>(C69*C70)-D71</f>
        <v>402.79679999999996</v>
      </c>
    </row>
    <row r="69" spans="1:4" ht="15.75" customHeight="1" x14ac:dyDescent="0.25">
      <c r="A69" s="45" t="s">
        <v>795</v>
      </c>
      <c r="B69" s="46" t="s">
        <v>796</v>
      </c>
      <c r="C69" s="146">
        <f>'DADOS CCT'!D69</f>
        <v>23.68</v>
      </c>
      <c r="D69" s="28">
        <v>0</v>
      </c>
    </row>
    <row r="70" spans="1:4" ht="15.75" customHeight="1" x14ac:dyDescent="0.25">
      <c r="A70" s="45" t="s">
        <v>797</v>
      </c>
      <c r="B70" s="46" t="s">
        <v>798</v>
      </c>
      <c r="C70" s="147">
        <f>C$18</f>
        <v>21</v>
      </c>
      <c r="D70" s="28">
        <v>0</v>
      </c>
    </row>
    <row r="71" spans="1:4" ht="15.75" customHeight="1" x14ac:dyDescent="0.25">
      <c r="A71" s="45" t="s">
        <v>799</v>
      </c>
      <c r="B71" s="46" t="s">
        <v>800</v>
      </c>
      <c r="C71" s="144">
        <f>'DADOS CCT'!D71</f>
        <v>0.19</v>
      </c>
      <c r="D71" s="28">
        <f>(C69*C70)*C71</f>
        <v>94.483199999999997</v>
      </c>
    </row>
    <row r="72" spans="1:4" ht="15.75" customHeight="1" x14ac:dyDescent="0.25">
      <c r="A72" s="45" t="s">
        <v>801</v>
      </c>
      <c r="B72" s="46" t="s">
        <v>802</v>
      </c>
      <c r="C72" s="136"/>
      <c r="D72" s="208">
        <f>'DADOS CCT'!D$72</f>
        <v>19.420000000000002</v>
      </c>
    </row>
    <row r="73" spans="1:4" ht="15.75" customHeight="1" x14ac:dyDescent="0.25">
      <c r="A73" s="45" t="s">
        <v>803</v>
      </c>
      <c r="B73" s="46" t="s">
        <v>804</v>
      </c>
      <c r="C73" s="136"/>
      <c r="D73" s="28">
        <v>0</v>
      </c>
    </row>
    <row r="74" spans="1:4" ht="15.75" customHeight="1" x14ac:dyDescent="0.25">
      <c r="A74" s="45" t="s">
        <v>805</v>
      </c>
      <c r="B74" s="46" t="s">
        <v>778</v>
      </c>
      <c r="C74" s="136"/>
      <c r="D74" s="28">
        <v>0</v>
      </c>
    </row>
    <row r="75" spans="1:4" ht="15.75" customHeight="1" x14ac:dyDescent="0.25">
      <c r="A75" s="582" t="s">
        <v>752</v>
      </c>
      <c r="B75" s="572"/>
      <c r="C75" s="184"/>
      <c r="D75" s="185">
        <f>SUM(D62,D68,D72:D74)</f>
        <v>506.18898181818179</v>
      </c>
    </row>
    <row r="76" spans="1:4" ht="38.25" customHeight="1" x14ac:dyDescent="0.25">
      <c r="A76" s="583" t="s">
        <v>1102</v>
      </c>
      <c r="B76" s="586"/>
      <c r="C76" s="40"/>
      <c r="D76" s="41"/>
    </row>
    <row r="77" spans="1:4" ht="8.1" customHeight="1" x14ac:dyDescent="0.25">
      <c r="A77" s="125"/>
      <c r="B77" s="33"/>
      <c r="C77" s="140"/>
      <c r="D77" s="127"/>
    </row>
    <row r="78" spans="1:4" ht="15.75" customHeight="1" x14ac:dyDescent="0.25">
      <c r="A78" s="581" t="s">
        <v>806</v>
      </c>
      <c r="B78" s="572"/>
      <c r="C78" s="182"/>
      <c r="D78" s="183" t="s">
        <v>734</v>
      </c>
    </row>
    <row r="79" spans="1:4" ht="15.75" customHeight="1" x14ac:dyDescent="0.25">
      <c r="A79" s="45" t="s">
        <v>807</v>
      </c>
      <c r="B79" s="46" t="s">
        <v>808</v>
      </c>
      <c r="C79" s="136"/>
      <c r="D79" s="28">
        <f>D45</f>
        <v>228.99261010909092</v>
      </c>
    </row>
    <row r="80" spans="1:4" ht="15.75" customHeight="1" x14ac:dyDescent="0.25">
      <c r="A80" s="45" t="s">
        <v>809</v>
      </c>
      <c r="B80" s="46" t="s">
        <v>810</v>
      </c>
      <c r="C80" s="28"/>
      <c r="D80" s="28">
        <f>D58</f>
        <v>893.77277809614566</v>
      </c>
    </row>
    <row r="81" spans="1:4" ht="15.75" customHeight="1" x14ac:dyDescent="0.25">
      <c r="A81" s="45" t="s">
        <v>811</v>
      </c>
      <c r="B81" s="46" t="s">
        <v>812</v>
      </c>
      <c r="C81" s="28"/>
      <c r="D81" s="28">
        <f>D75</f>
        <v>506.18898181818179</v>
      </c>
    </row>
    <row r="82" spans="1:4" ht="15.75" customHeight="1" thickBot="1" x14ac:dyDescent="0.3">
      <c r="A82" s="589" t="s">
        <v>752</v>
      </c>
      <c r="B82" s="590"/>
      <c r="C82" s="180"/>
      <c r="D82" s="181">
        <f>SUM(D79:D81)</f>
        <v>1628.9543700234185</v>
      </c>
    </row>
    <row r="83" spans="1:4" ht="8.1" customHeight="1" x14ac:dyDescent="0.25">
      <c r="A83" s="148"/>
      <c r="B83" s="149"/>
      <c r="C83" s="40"/>
      <c r="D83" s="41"/>
    </row>
    <row r="84" spans="1:4" ht="8.1" customHeight="1" thickBot="1" x14ac:dyDescent="0.3">
      <c r="A84" s="4"/>
      <c r="B84" s="1"/>
      <c r="C84" s="22"/>
      <c r="D84" s="6"/>
    </row>
    <row r="85" spans="1:4" ht="18" customHeight="1" x14ac:dyDescent="0.25">
      <c r="A85" s="591" t="s">
        <v>813</v>
      </c>
      <c r="B85" s="592"/>
      <c r="C85" s="12"/>
      <c r="D85" s="150" t="s">
        <v>734</v>
      </c>
    </row>
    <row r="86" spans="1:4" ht="15.75" customHeight="1" x14ac:dyDescent="0.25">
      <c r="A86" s="209" t="s">
        <v>814</v>
      </c>
      <c r="B86" s="210" t="s">
        <v>815</v>
      </c>
      <c r="C86" s="211">
        <v>0.05</v>
      </c>
      <c r="D86" s="212">
        <f>(D$33/$C$11)*C86*C89</f>
        <v>8.4027818181818201</v>
      </c>
    </row>
    <row r="87" spans="1:4" ht="15.75" customHeight="1" x14ac:dyDescent="0.25">
      <c r="A87" s="209" t="s">
        <v>816</v>
      </c>
      <c r="B87" s="210" t="s">
        <v>817</v>
      </c>
      <c r="C87" s="211">
        <f>C56</f>
        <v>0.08</v>
      </c>
      <c r="D87" s="212">
        <f>D86*C87</f>
        <v>0.67222254545454563</v>
      </c>
    </row>
    <row r="88" spans="1:4" ht="15.75" customHeight="1" x14ac:dyDescent="0.25">
      <c r="A88" s="209" t="s">
        <v>818</v>
      </c>
      <c r="B88" s="210" t="s">
        <v>819</v>
      </c>
      <c r="C88" s="211">
        <v>0.04</v>
      </c>
      <c r="D88" s="212">
        <f>D$33*C88</f>
        <v>80.666705454545465</v>
      </c>
    </row>
    <row r="89" spans="1:4" ht="15.75" customHeight="1" x14ac:dyDescent="0.25">
      <c r="A89" s="213" t="s">
        <v>820</v>
      </c>
      <c r="B89" s="214" t="s">
        <v>821</v>
      </c>
      <c r="C89" s="215">
        <v>1</v>
      </c>
      <c r="D89" s="216">
        <v>0</v>
      </c>
    </row>
    <row r="90" spans="1:4" ht="15.75" customHeight="1" x14ac:dyDescent="0.25">
      <c r="A90" s="18" t="s">
        <v>822</v>
      </c>
      <c r="B90" s="13" t="s">
        <v>823</v>
      </c>
      <c r="C90" s="15">
        <v>0.9</v>
      </c>
      <c r="D90" s="14">
        <f>(((D$33/30)*7)/12)*C90*C93</f>
        <v>35.291683636363636</v>
      </c>
    </row>
    <row r="91" spans="1:4" ht="15.75" customHeight="1" x14ac:dyDescent="0.25">
      <c r="A91" s="18" t="s">
        <v>820</v>
      </c>
      <c r="B91" s="13" t="s">
        <v>824</v>
      </c>
      <c r="C91" s="15">
        <f>C58</f>
        <v>0.39800000000000008</v>
      </c>
      <c r="D91" s="14">
        <f>D90*C91</f>
        <v>14.046090087272731</v>
      </c>
    </row>
    <row r="92" spans="1:4" ht="15.75" customHeight="1" x14ac:dyDescent="0.25">
      <c r="A92" s="18" t="s">
        <v>822</v>
      </c>
      <c r="B92" s="13" t="s">
        <v>825</v>
      </c>
      <c r="C92" s="17">
        <v>3.8080000000000003E-2</v>
      </c>
      <c r="D92" s="14">
        <f>D$33*C92</f>
        <v>76.794703592727288</v>
      </c>
    </row>
    <row r="93" spans="1:4" ht="15.75" customHeight="1" x14ac:dyDescent="0.25">
      <c r="A93" s="66" t="s">
        <v>826</v>
      </c>
      <c r="B93" s="34" t="s">
        <v>827</v>
      </c>
      <c r="C93" s="67">
        <v>1</v>
      </c>
      <c r="D93" s="35">
        <v>0</v>
      </c>
    </row>
    <row r="94" spans="1:4" ht="15.75" customHeight="1" thickBot="1" x14ac:dyDescent="0.3">
      <c r="A94" s="593" t="s">
        <v>752</v>
      </c>
      <c r="B94" s="594"/>
      <c r="C94" s="172"/>
      <c r="D94" s="173">
        <f>SUM(D86:D88,D90:D92)</f>
        <v>215.87418713454548</v>
      </c>
    </row>
    <row r="95" spans="1:4" ht="54.75" customHeight="1" x14ac:dyDescent="0.25">
      <c r="A95" s="577" t="s">
        <v>828</v>
      </c>
      <c r="B95" s="578"/>
      <c r="C95" s="3"/>
      <c r="D95" s="41"/>
    </row>
    <row r="96" spans="1:4" ht="15.95" customHeight="1" thickBot="1" x14ac:dyDescent="0.3">
      <c r="A96" s="4"/>
      <c r="B96" s="1"/>
      <c r="C96" s="22"/>
      <c r="D96" s="6"/>
    </row>
    <row r="97" spans="1:4" ht="18" customHeight="1" x14ac:dyDescent="0.25">
      <c r="A97" s="591" t="s">
        <v>829</v>
      </c>
      <c r="B97" s="592"/>
      <c r="C97" s="12"/>
      <c r="D97" s="150" t="s">
        <v>734</v>
      </c>
    </row>
    <row r="98" spans="1:4" ht="8.1" customHeight="1" x14ac:dyDescent="0.25">
      <c r="A98" s="7"/>
      <c r="C98" s="8"/>
      <c r="D98" s="127"/>
    </row>
    <row r="99" spans="1:4" ht="15.75" customHeight="1" x14ac:dyDescent="0.25">
      <c r="A99" s="587" t="s">
        <v>830</v>
      </c>
      <c r="B99" s="588"/>
      <c r="C99" s="151"/>
      <c r="D99" s="152">
        <f>SUM(D33,D45,D102)</f>
        <v>2428.6728344727276</v>
      </c>
    </row>
    <row r="100" spans="1:4" ht="8.1" customHeight="1" x14ac:dyDescent="0.25">
      <c r="A100" s="7"/>
      <c r="C100" s="8"/>
      <c r="D100" s="127"/>
    </row>
    <row r="101" spans="1:4" ht="15.75" customHeight="1" x14ac:dyDescent="0.25">
      <c r="A101" s="587" t="s">
        <v>831</v>
      </c>
      <c r="B101" s="588"/>
      <c r="C101" s="151"/>
      <c r="D101" s="152" t="s">
        <v>734</v>
      </c>
    </row>
    <row r="102" spans="1:4" ht="15.75" customHeight="1" x14ac:dyDescent="0.25">
      <c r="A102" s="18" t="s">
        <v>832</v>
      </c>
      <c r="B102" s="13" t="s">
        <v>833</v>
      </c>
      <c r="C102" s="17">
        <v>9.0749999999999997E-2</v>
      </c>
      <c r="D102" s="14">
        <f>D$33*C102</f>
        <v>183.01258800000002</v>
      </c>
    </row>
    <row r="103" spans="1:4" ht="15.75" customHeight="1" x14ac:dyDescent="0.25">
      <c r="A103" s="18" t="s">
        <v>834</v>
      </c>
      <c r="B103" s="13" t="s">
        <v>835</v>
      </c>
      <c r="C103" s="14">
        <v>1</v>
      </c>
      <c r="D103" s="14">
        <f>((D99/30)*C103)/12</f>
        <v>6.7463134290909101</v>
      </c>
    </row>
    <row r="104" spans="1:4" ht="15.75" customHeight="1" x14ac:dyDescent="0.25">
      <c r="A104" s="18" t="s">
        <v>836</v>
      </c>
      <c r="B104" s="13" t="s">
        <v>837</v>
      </c>
      <c r="C104" s="15">
        <v>1.4999999999999999E-2</v>
      </c>
      <c r="D104" s="14">
        <f>((D99/30)*5/12)*C104</f>
        <v>0.50597350718181822</v>
      </c>
    </row>
    <row r="105" spans="1:4" ht="15.75" customHeight="1" x14ac:dyDescent="0.25">
      <c r="A105" s="18" t="s">
        <v>838</v>
      </c>
      <c r="B105" s="13" t="s">
        <v>839</v>
      </c>
      <c r="C105" s="15">
        <v>7.7999999999999996E-3</v>
      </c>
      <c r="D105" s="14">
        <f>((D99/30)*15/12)*C105</f>
        <v>0.78931867120363641</v>
      </c>
    </row>
    <row r="106" spans="1:4" ht="15.75" customHeight="1" x14ac:dyDescent="0.25">
      <c r="A106" s="18" t="s">
        <v>840</v>
      </c>
      <c r="B106" s="13" t="s">
        <v>841</v>
      </c>
      <c r="C106" s="15">
        <v>0.02</v>
      </c>
      <c r="D106" s="14">
        <f>(((D33+(D33/3))/12)*(4/12))*C106</f>
        <v>1.4938278787878789</v>
      </c>
    </row>
    <row r="107" spans="1:4" ht="15.75" customHeight="1" x14ac:dyDescent="0.25">
      <c r="A107" s="18" t="s">
        <v>842</v>
      </c>
      <c r="B107" s="13" t="s">
        <v>843</v>
      </c>
      <c r="C107" s="14">
        <v>3</v>
      </c>
      <c r="D107" s="14">
        <f>((D99/30)*C107)/12</f>
        <v>20.23894028727273</v>
      </c>
    </row>
    <row r="108" spans="1:4" ht="15.75" customHeight="1" x14ac:dyDescent="0.25">
      <c r="A108" s="18" t="s">
        <v>844</v>
      </c>
      <c r="B108" s="13" t="s">
        <v>845</v>
      </c>
      <c r="C108" s="14"/>
      <c r="D108" s="14">
        <f>((D99/30)*C108)/12</f>
        <v>0</v>
      </c>
    </row>
    <row r="109" spans="1:4" ht="15.75" customHeight="1" x14ac:dyDescent="0.25">
      <c r="A109" s="595" t="s">
        <v>752</v>
      </c>
      <c r="B109" s="588"/>
      <c r="C109" s="175"/>
      <c r="D109" s="44">
        <f>SUM(D102:D107)</f>
        <v>212.78696177353697</v>
      </c>
    </row>
    <row r="110" spans="1:4" ht="15.75" customHeight="1" x14ac:dyDescent="0.25">
      <c r="A110" s="18" t="s">
        <v>846</v>
      </c>
      <c r="B110" s="13" t="s">
        <v>847</v>
      </c>
      <c r="C110" s="15">
        <f>C58</f>
        <v>0.39800000000000008</v>
      </c>
      <c r="D110" s="14">
        <f>D109*C110</f>
        <v>84.689210785867729</v>
      </c>
    </row>
    <row r="111" spans="1:4" ht="15.75" customHeight="1" x14ac:dyDescent="0.25">
      <c r="A111" s="596" t="s">
        <v>752</v>
      </c>
      <c r="B111" s="588"/>
      <c r="C111" s="179"/>
      <c r="D111" s="178">
        <f>SUM(D109:D110)</f>
        <v>297.47617255940469</v>
      </c>
    </row>
    <row r="112" spans="1:4" ht="61.5" customHeight="1" x14ac:dyDescent="0.25">
      <c r="A112" s="577" t="s">
        <v>848</v>
      </c>
      <c r="B112" s="578"/>
      <c r="C112" s="3"/>
      <c r="D112" s="41"/>
    </row>
    <row r="113" spans="1:4" ht="8.1" customHeight="1" x14ac:dyDescent="0.25">
      <c r="A113" s="125"/>
      <c r="B113" s="42"/>
      <c r="C113" s="140"/>
      <c r="D113" s="127"/>
    </row>
    <row r="114" spans="1:4" ht="15.75" customHeight="1" x14ac:dyDescent="0.25">
      <c r="A114" s="587" t="s">
        <v>849</v>
      </c>
      <c r="B114" s="588"/>
      <c r="C114" s="151"/>
      <c r="D114" s="152" t="s">
        <v>734</v>
      </c>
    </row>
    <row r="115" spans="1:4" ht="15.75" customHeight="1" x14ac:dyDescent="0.25">
      <c r="A115" s="18" t="s">
        <v>850</v>
      </c>
      <c r="B115" s="13" t="s">
        <v>851</v>
      </c>
      <c r="C115" s="14">
        <v>0</v>
      </c>
      <c r="D115" s="14">
        <f>((D$37+D$82)/C$28)*C115*C$18</f>
        <v>0</v>
      </c>
    </row>
    <row r="116" spans="1:4" ht="15.75" customHeight="1" x14ac:dyDescent="0.25">
      <c r="A116" s="18" t="s">
        <v>852</v>
      </c>
      <c r="B116" s="13" t="s">
        <v>853</v>
      </c>
      <c r="C116" s="15">
        <f>C58</f>
        <v>0.39800000000000008</v>
      </c>
      <c r="D116" s="14">
        <f>D115*C116</f>
        <v>0</v>
      </c>
    </row>
    <row r="117" spans="1:4" ht="15.75" customHeight="1" x14ac:dyDescent="0.25">
      <c r="A117" s="596" t="s">
        <v>752</v>
      </c>
      <c r="B117" s="588"/>
      <c r="C117" s="177"/>
      <c r="D117" s="178">
        <f>SUM(D115:D116)</f>
        <v>0</v>
      </c>
    </row>
    <row r="118" spans="1:4" ht="8.1" customHeight="1" x14ac:dyDescent="0.25">
      <c r="A118" s="577"/>
      <c r="B118" s="578"/>
      <c r="C118" s="3"/>
      <c r="D118" s="41"/>
    </row>
    <row r="119" spans="1:4" ht="8.1" customHeight="1" x14ac:dyDescent="0.25">
      <c r="A119" s="7"/>
      <c r="C119" s="20"/>
      <c r="D119" s="127"/>
    </row>
    <row r="120" spans="1:4" ht="15.75" customHeight="1" x14ac:dyDescent="0.25">
      <c r="A120" s="587" t="s">
        <v>854</v>
      </c>
      <c r="B120" s="588"/>
      <c r="C120" s="151"/>
      <c r="D120" s="152" t="s">
        <v>734</v>
      </c>
    </row>
    <row r="121" spans="1:4" ht="15.75" customHeight="1" x14ac:dyDescent="0.25">
      <c r="A121" s="18" t="s">
        <v>855</v>
      </c>
      <c r="B121" s="13" t="s">
        <v>856</v>
      </c>
      <c r="C121" s="15"/>
      <c r="D121" s="14">
        <f>D111</f>
        <v>297.47617255940469</v>
      </c>
    </row>
    <row r="122" spans="1:4" ht="15.75" customHeight="1" x14ac:dyDescent="0.25">
      <c r="A122" s="18" t="s">
        <v>857</v>
      </c>
      <c r="B122" s="13" t="s">
        <v>858</v>
      </c>
      <c r="C122" s="14"/>
      <c r="D122" s="14">
        <f>D117</f>
        <v>0</v>
      </c>
    </row>
    <row r="123" spans="1:4" ht="15.75" customHeight="1" thickBot="1" x14ac:dyDescent="0.3">
      <c r="A123" s="593" t="s">
        <v>752</v>
      </c>
      <c r="B123" s="594"/>
      <c r="C123" s="172"/>
      <c r="D123" s="173">
        <f>SUM(D121:D122)</f>
        <v>297.47617255940469</v>
      </c>
    </row>
    <row r="124" spans="1:4" ht="8.1" customHeight="1" x14ac:dyDescent="0.25">
      <c r="A124" s="153"/>
      <c r="B124" s="154"/>
      <c r="C124" s="155"/>
      <c r="D124" s="156"/>
    </row>
    <row r="125" spans="1:4" ht="8.1" customHeight="1" thickBot="1" x14ac:dyDescent="0.3">
      <c r="A125" s="125"/>
      <c r="B125" s="42"/>
      <c r="C125" s="140"/>
      <c r="D125" s="127"/>
    </row>
    <row r="126" spans="1:4" ht="18" customHeight="1" x14ac:dyDescent="0.25">
      <c r="A126" s="591" t="s">
        <v>859</v>
      </c>
      <c r="B126" s="592"/>
      <c r="C126" s="12"/>
      <c r="D126" s="150" t="s">
        <v>734</v>
      </c>
    </row>
    <row r="127" spans="1:4" ht="15.75" customHeight="1" x14ac:dyDescent="0.25">
      <c r="A127" s="174" t="s">
        <v>860</v>
      </c>
      <c r="B127" s="175" t="s">
        <v>861</v>
      </c>
      <c r="C127" s="176"/>
      <c r="D127" s="44">
        <f>tbUNIFORMESL[[#Totals],[VL. MENSAL]]</f>
        <v>167.72833333333332</v>
      </c>
    </row>
    <row r="128" spans="1:4" ht="15.75" customHeight="1" x14ac:dyDescent="0.25">
      <c r="A128" s="174" t="s">
        <v>862</v>
      </c>
      <c r="B128" s="175" t="s">
        <v>863</v>
      </c>
      <c r="C128" s="176"/>
      <c r="D128" s="44">
        <v>0</v>
      </c>
    </row>
    <row r="129" spans="1:4" ht="15.75" customHeight="1" x14ac:dyDescent="0.25">
      <c r="A129" s="174" t="s">
        <v>864</v>
      </c>
      <c r="B129" s="175" t="s">
        <v>865</v>
      </c>
      <c r="C129" s="176"/>
      <c r="D129" s="44">
        <v>0</v>
      </c>
    </row>
    <row r="130" spans="1:4" ht="15.75" customHeight="1" x14ac:dyDescent="0.25">
      <c r="A130" s="174" t="s">
        <v>866</v>
      </c>
      <c r="B130" s="175" t="s">
        <v>867</v>
      </c>
      <c r="C130" s="176"/>
      <c r="D130" s="44">
        <v>0</v>
      </c>
    </row>
    <row r="131" spans="1:4" ht="15.75" customHeight="1" thickBot="1" x14ac:dyDescent="0.3">
      <c r="A131" s="593" t="s">
        <v>752</v>
      </c>
      <c r="B131" s="594"/>
      <c r="C131" s="172"/>
      <c r="D131" s="173">
        <f>SUM(D127:D130)</f>
        <v>167.72833333333332</v>
      </c>
    </row>
    <row r="132" spans="1:4" ht="15.95" customHeight="1" thickBot="1" x14ac:dyDescent="0.3">
      <c r="A132" s="4"/>
      <c r="B132" s="1"/>
      <c r="C132" s="22"/>
      <c r="D132" s="6"/>
    </row>
    <row r="133" spans="1:4" ht="18" customHeight="1" x14ac:dyDescent="0.25">
      <c r="A133" s="591" t="s">
        <v>868</v>
      </c>
      <c r="B133" s="592"/>
      <c r="C133" s="12"/>
      <c r="D133" s="150" t="s">
        <v>734</v>
      </c>
    </row>
    <row r="134" spans="1:4" ht="8.1" customHeight="1" x14ac:dyDescent="0.25">
      <c r="A134" s="7"/>
      <c r="C134" s="8"/>
      <c r="D134" s="127"/>
    </row>
    <row r="135" spans="1:4" ht="15.75" customHeight="1" x14ac:dyDescent="0.25">
      <c r="A135" s="587" t="s">
        <v>869</v>
      </c>
      <c r="B135" s="588"/>
      <c r="C135" s="151"/>
      <c r="D135" s="152">
        <f>SUM(D37,D82,D94,D123,D131)</f>
        <v>4326.7006994143385</v>
      </c>
    </row>
    <row r="136" spans="1:4" ht="8.1" customHeight="1" x14ac:dyDescent="0.25">
      <c r="A136" s="7"/>
      <c r="C136" s="8"/>
      <c r="D136" s="127"/>
    </row>
    <row r="137" spans="1:4" ht="15.75" customHeight="1" x14ac:dyDescent="0.25">
      <c r="A137" s="66" t="s">
        <v>870</v>
      </c>
      <c r="B137" s="34" t="s">
        <v>871</v>
      </c>
      <c r="C137" s="67">
        <v>0.05</v>
      </c>
      <c r="D137" s="35">
        <f>D$135*C137</f>
        <v>216.33503497071695</v>
      </c>
    </row>
    <row r="138" spans="1:4" ht="15.75" customHeight="1" x14ac:dyDescent="0.25">
      <c r="A138" s="66" t="s">
        <v>872</v>
      </c>
      <c r="B138" s="34" t="s">
        <v>873</v>
      </c>
      <c r="C138" s="67">
        <v>0.1</v>
      </c>
      <c r="D138" s="35">
        <f>SUM(D135,D137)*C138</f>
        <v>454.30357343850557</v>
      </c>
    </row>
    <row r="139" spans="1:4" ht="8.1" customHeight="1" x14ac:dyDescent="0.25">
      <c r="A139" s="7"/>
      <c r="C139" s="8"/>
      <c r="D139" s="127"/>
    </row>
    <row r="140" spans="1:4" ht="15.75" customHeight="1" x14ac:dyDescent="0.25">
      <c r="A140" s="587" t="s">
        <v>874</v>
      </c>
      <c r="B140" s="588"/>
      <c r="C140" s="151"/>
      <c r="D140" s="152">
        <f>SUM(D135,D137:D138)</f>
        <v>4997.3393078235613</v>
      </c>
    </row>
    <row r="141" spans="1:4" ht="8.1" customHeight="1" x14ac:dyDescent="0.25">
      <c r="A141" s="7"/>
      <c r="C141" s="8"/>
      <c r="D141" s="127"/>
    </row>
    <row r="142" spans="1:4" ht="15.75" customHeight="1" x14ac:dyDescent="0.25">
      <c r="A142" s="18" t="s">
        <v>875</v>
      </c>
      <c r="B142" s="13" t="s">
        <v>876</v>
      </c>
      <c r="C142" s="19">
        <f>'DADOS CCT'!D75</f>
        <v>7.5999999999999998E-2</v>
      </c>
      <c r="D142" s="14">
        <f>(D$140/(1-C$146))*C142</f>
        <v>432.81799133286682</v>
      </c>
    </row>
    <row r="143" spans="1:4" ht="15.75" customHeight="1" x14ac:dyDescent="0.25">
      <c r="A143" s="18" t="s">
        <v>877</v>
      </c>
      <c r="B143" s="13" t="s">
        <v>878</v>
      </c>
      <c r="C143" s="19">
        <f>'DADOS CCT'!D74</f>
        <v>1.6500000000000001E-2</v>
      </c>
      <c r="D143" s="14">
        <f>(D$140/(1-C$146))*C143</f>
        <v>93.96706390779346</v>
      </c>
    </row>
    <row r="144" spans="1:4" ht="15.75" customHeight="1" x14ac:dyDescent="0.25">
      <c r="A144" s="18" t="s">
        <v>879</v>
      </c>
      <c r="B144" s="13" t="s">
        <v>880</v>
      </c>
      <c r="C144" s="15"/>
      <c r="D144" s="14">
        <f>(D$140/(1-C$146))*C144</f>
        <v>0</v>
      </c>
    </row>
    <row r="145" spans="1:4" ht="15.75" customHeight="1" x14ac:dyDescent="0.25">
      <c r="A145" s="18" t="s">
        <v>881</v>
      </c>
      <c r="B145" s="13" t="s">
        <v>882</v>
      </c>
      <c r="C145" s="19">
        <f>'DADOS CCT'!D73</f>
        <v>0.03</v>
      </c>
      <c r="D145" s="14">
        <f>(D$140/(1-C$146))*C145</f>
        <v>170.84920710507902</v>
      </c>
    </row>
    <row r="146" spans="1:4" ht="15.75" customHeight="1" thickBot="1" x14ac:dyDescent="0.3">
      <c r="A146" s="599" t="s">
        <v>752</v>
      </c>
      <c r="B146" s="600"/>
      <c r="C146" s="43">
        <f>SUM(C142:C145)</f>
        <v>0.1225</v>
      </c>
      <c r="D146" s="39">
        <f>SUM(D137:D138,D142:D145)</f>
        <v>1368.2728707549618</v>
      </c>
    </row>
    <row r="147" spans="1:4" ht="15.95" customHeight="1" thickBot="1" x14ac:dyDescent="0.3">
      <c r="A147" s="4"/>
      <c r="B147" s="1"/>
      <c r="C147" s="22"/>
      <c r="D147" s="6"/>
    </row>
    <row r="148" spans="1:4" ht="18" customHeight="1" x14ac:dyDescent="0.25">
      <c r="A148" s="601" t="s">
        <v>883</v>
      </c>
      <c r="B148" s="602"/>
      <c r="C148" s="170"/>
      <c r="D148" s="171" t="s">
        <v>734</v>
      </c>
    </row>
    <row r="149" spans="1:4" ht="15.75" customHeight="1" x14ac:dyDescent="0.25">
      <c r="A149" s="45"/>
      <c r="B149" s="46" t="s">
        <v>884</v>
      </c>
      <c r="C149" s="136"/>
      <c r="D149" s="28">
        <f>D37</f>
        <v>2016.6676363636366</v>
      </c>
    </row>
    <row r="150" spans="1:4" ht="15.75" customHeight="1" x14ac:dyDescent="0.25">
      <c r="A150" s="45"/>
      <c r="B150" s="46" t="s">
        <v>885</v>
      </c>
      <c r="C150" s="136"/>
      <c r="D150" s="28">
        <f>D82</f>
        <v>1628.9543700234185</v>
      </c>
    </row>
    <row r="151" spans="1:4" ht="15.75" customHeight="1" x14ac:dyDescent="0.25">
      <c r="A151" s="45"/>
      <c r="B151" s="46" t="s">
        <v>886</v>
      </c>
      <c r="C151" s="143"/>
      <c r="D151" s="28">
        <f>D94</f>
        <v>215.87418713454548</v>
      </c>
    </row>
    <row r="152" spans="1:4" ht="15.75" customHeight="1" x14ac:dyDescent="0.25">
      <c r="A152" s="45"/>
      <c r="B152" s="46" t="s">
        <v>887</v>
      </c>
      <c r="C152" s="136"/>
      <c r="D152" s="28">
        <f>D123</f>
        <v>297.47617255940469</v>
      </c>
    </row>
    <row r="153" spans="1:4" ht="15.75" customHeight="1" x14ac:dyDescent="0.25">
      <c r="A153" s="45"/>
      <c r="B153" s="46" t="s">
        <v>888</v>
      </c>
      <c r="C153" s="136"/>
      <c r="D153" s="28">
        <f>D131</f>
        <v>167.72833333333332</v>
      </c>
    </row>
    <row r="154" spans="1:4" ht="15.75" customHeight="1" x14ac:dyDescent="0.25">
      <c r="A154" s="585" t="s">
        <v>752</v>
      </c>
      <c r="B154" s="412"/>
      <c r="C154" s="137"/>
      <c r="D154" s="138">
        <f>SUM(D149:D153)</f>
        <v>4326.7006994143385</v>
      </c>
    </row>
    <row r="155" spans="1:4" ht="15.75" customHeight="1" x14ac:dyDescent="0.25">
      <c r="A155" s="45"/>
      <c r="B155" s="46" t="s">
        <v>889</v>
      </c>
      <c r="C155" s="143"/>
      <c r="D155" s="28">
        <f>D146</f>
        <v>1368.2728707549618</v>
      </c>
    </row>
    <row r="156" spans="1:4" ht="15.75" customHeight="1" thickBot="1" x14ac:dyDescent="0.35">
      <c r="A156" s="603" t="s">
        <v>890</v>
      </c>
      <c r="B156" s="604"/>
      <c r="C156" s="168"/>
      <c r="D156" s="169">
        <f>TRUNC(SUM(D154:D155),2)</f>
        <v>5694.97</v>
      </c>
    </row>
    <row r="157" spans="1:4" ht="8.1" customHeight="1" thickBot="1" x14ac:dyDescent="0.3">
      <c r="A157" s="9"/>
      <c r="B157" s="10"/>
      <c r="C157" s="21"/>
      <c r="D157" s="11"/>
    </row>
    <row r="158" spans="1:4" ht="15.75" customHeight="1" thickBot="1" x14ac:dyDescent="0.3">
      <c r="A158" s="605" t="s">
        <v>891</v>
      </c>
      <c r="B158" s="470"/>
      <c r="C158" s="166"/>
      <c r="D158" s="167">
        <v>1</v>
      </c>
    </row>
    <row r="159" spans="1:4" ht="8.1" customHeight="1" thickBot="1" x14ac:dyDescent="0.3">
      <c r="A159" s="9"/>
      <c r="B159" s="10"/>
      <c r="C159" s="21"/>
      <c r="D159" s="11"/>
    </row>
    <row r="160" spans="1:4" ht="15.75" customHeight="1" thickBot="1" x14ac:dyDescent="0.35">
      <c r="A160" s="597" t="s">
        <v>892</v>
      </c>
      <c r="B160" s="598"/>
      <c r="C160" s="164"/>
      <c r="D160" s="165">
        <f>TRUNC(D156*D158,2)</f>
        <v>5694.97</v>
      </c>
    </row>
    <row r="161" spans="1:4" ht="15.95" customHeight="1" thickBot="1" x14ac:dyDescent="0.3"/>
    <row r="162" spans="1:4" ht="15.75" customHeight="1" thickBot="1" x14ac:dyDescent="0.35">
      <c r="A162" s="561" t="s">
        <v>893</v>
      </c>
      <c r="B162" s="562"/>
      <c r="C162" s="162"/>
      <c r="D162" s="163">
        <f>D156/D37</f>
        <v>2.8239507082430855</v>
      </c>
    </row>
    <row r="163" spans="1:4" ht="15.95" customHeight="1" thickBot="1" x14ac:dyDescent="0.3">
      <c r="A163" s="33"/>
      <c r="B163" s="33"/>
      <c r="C163" s="33"/>
    </row>
    <row r="164" spans="1:4" ht="15.75" customHeight="1" x14ac:dyDescent="0.3">
      <c r="A164" s="551" t="s">
        <v>894</v>
      </c>
      <c r="B164" s="551"/>
      <c r="C164" s="160"/>
      <c r="D164" s="161"/>
    </row>
    <row r="165" spans="1:4" ht="15" customHeight="1" thickBot="1" x14ac:dyDescent="0.3">
      <c r="A165" s="157"/>
      <c r="B165" s="157" t="s">
        <v>895</v>
      </c>
      <c r="C165" s="157"/>
      <c r="D165" s="158">
        <f>TRUNC(D156/C$18,2)</f>
        <v>271.18</v>
      </c>
    </row>
  </sheetData>
  <mergeCells count="65">
    <mergeCell ref="C15:D15"/>
    <mergeCell ref="C3:D3"/>
    <mergeCell ref="C4:D4"/>
    <mergeCell ref="C5:D5"/>
    <mergeCell ref="A7:B7"/>
    <mergeCell ref="C8:D8"/>
    <mergeCell ref="C9:D9"/>
    <mergeCell ref="C10:D10"/>
    <mergeCell ref="C11:D11"/>
    <mergeCell ref="C12:D12"/>
    <mergeCell ref="C13:D13"/>
    <mergeCell ref="C14:D14"/>
    <mergeCell ref="A33:B33"/>
    <mergeCell ref="C16:D16"/>
    <mergeCell ref="C17:D17"/>
    <mergeCell ref="C18:D18"/>
    <mergeCell ref="C19:D19"/>
    <mergeCell ref="C20:D20"/>
    <mergeCell ref="C21:D21"/>
    <mergeCell ref="C22:D22"/>
    <mergeCell ref="C23:D23"/>
    <mergeCell ref="A25:B25"/>
    <mergeCell ref="C25:D25"/>
    <mergeCell ref="A27:B27"/>
    <mergeCell ref="A76:B76"/>
    <mergeCell ref="A37:B37"/>
    <mergeCell ref="A38:B38"/>
    <mergeCell ref="A40:B40"/>
    <mergeCell ref="A42:B42"/>
    <mergeCell ref="A45:B45"/>
    <mergeCell ref="A46:B46"/>
    <mergeCell ref="A48:B48"/>
    <mergeCell ref="A58:B58"/>
    <mergeCell ref="A59:B59"/>
    <mergeCell ref="A61:B61"/>
    <mergeCell ref="A75:B75"/>
    <mergeCell ref="A114:B114"/>
    <mergeCell ref="A78:B78"/>
    <mergeCell ref="A82:B82"/>
    <mergeCell ref="A85:B85"/>
    <mergeCell ref="A94:B94"/>
    <mergeCell ref="A95:B95"/>
    <mergeCell ref="A97:B97"/>
    <mergeCell ref="A99:B99"/>
    <mergeCell ref="A101:B101"/>
    <mergeCell ref="A109:B109"/>
    <mergeCell ref="A111:B111"/>
    <mergeCell ref="A112:B112"/>
    <mergeCell ref="A154:B154"/>
    <mergeCell ref="A117:B117"/>
    <mergeCell ref="A118:B118"/>
    <mergeCell ref="A120:B120"/>
    <mergeCell ref="A123:B123"/>
    <mergeCell ref="A126:B126"/>
    <mergeCell ref="A131:B131"/>
    <mergeCell ref="A133:B133"/>
    <mergeCell ref="A135:B135"/>
    <mergeCell ref="A140:B140"/>
    <mergeCell ref="A146:B146"/>
    <mergeCell ref="A148:B148"/>
    <mergeCell ref="A156:B156"/>
    <mergeCell ref="A158:B158"/>
    <mergeCell ref="A160:B160"/>
    <mergeCell ref="A162:B162"/>
    <mergeCell ref="A164:B164"/>
  </mergeCells>
  <pageMargins left="0.70866141732283472" right="0.70866141732283472" top="0.74803149606299213" bottom="0.74803149606299213" header="0" footer="0"/>
  <pageSetup paperSize="9" scale="80" fitToHeight="0" orientation="portrait" r:id="rId1"/>
  <rowBreaks count="4" manualBreakCount="4">
    <brk id="38" max="3" man="1"/>
    <brk id="83" max="3" man="1"/>
    <brk id="90" max="16383" man="1"/>
    <brk id="124" max="3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CAE4A-A213-46D2-A1B1-2EB0836AD1E7}">
  <sheetPr>
    <tabColor theme="9" tint="0.79998168889431442"/>
    <outlinePr summaryBelow="0"/>
    <pageSetUpPr fitToPage="1"/>
  </sheetPr>
  <dimension ref="A1:D165"/>
  <sheetViews>
    <sheetView workbookViewId="0"/>
  </sheetViews>
  <sheetFormatPr defaultColWidth="14.42578125" defaultRowHeight="15" customHeight="1" x14ac:dyDescent="0.25"/>
  <cols>
    <col min="1" max="1" width="6.7109375" customWidth="1"/>
    <col min="2" max="2" width="64.7109375" customWidth="1"/>
    <col min="3" max="3" width="18.7109375" customWidth="1"/>
    <col min="4" max="4" width="18.7109375" style="33" customWidth="1"/>
    <col min="5" max="16384" width="14.42578125" style="159"/>
  </cols>
  <sheetData>
    <row r="1" spans="1:4" ht="40.5" customHeight="1" x14ac:dyDescent="0.25">
      <c r="A1" s="38"/>
      <c r="B1" s="313" t="s">
        <v>692</v>
      </c>
      <c r="C1" s="37"/>
      <c r="D1" s="37"/>
    </row>
    <row r="2" spans="1:4" ht="15.95" customHeight="1" thickBot="1" x14ac:dyDescent="0.3">
      <c r="A2" s="125"/>
      <c r="B2" s="42"/>
      <c r="C2" s="126"/>
      <c r="D2" s="127"/>
    </row>
    <row r="3" spans="1:4" ht="15" customHeight="1" x14ac:dyDescent="0.25">
      <c r="A3" s="192"/>
      <c r="B3" s="314" t="s">
        <v>693</v>
      </c>
      <c r="C3" s="552"/>
      <c r="D3" s="552"/>
    </row>
    <row r="4" spans="1:4" ht="15" customHeight="1" x14ac:dyDescent="0.25">
      <c r="A4" s="193"/>
      <c r="B4" s="274" t="s">
        <v>694</v>
      </c>
      <c r="C4" s="553"/>
      <c r="D4" s="553"/>
    </row>
    <row r="5" spans="1:4" ht="15.75" customHeight="1" thickBot="1" x14ac:dyDescent="0.3">
      <c r="A5" s="194"/>
      <c r="B5" s="195" t="s">
        <v>695</v>
      </c>
      <c r="C5" s="554"/>
      <c r="D5" s="554"/>
    </row>
    <row r="6" spans="1:4" ht="15.95" customHeight="1" thickBot="1" x14ac:dyDescent="0.3">
      <c r="A6" s="125"/>
      <c r="B6" s="42"/>
      <c r="C6" s="126"/>
      <c r="D6" s="127"/>
    </row>
    <row r="7" spans="1:4" ht="15" customHeight="1" x14ac:dyDescent="0.25">
      <c r="A7" s="563" t="s">
        <v>696</v>
      </c>
      <c r="B7" s="564"/>
      <c r="C7" s="128"/>
      <c r="D7" s="129"/>
    </row>
    <row r="8" spans="1:4" ht="15" customHeight="1" x14ac:dyDescent="0.25">
      <c r="A8" s="45" t="s">
        <v>697</v>
      </c>
      <c r="B8" s="263" t="s">
        <v>698</v>
      </c>
      <c r="C8" s="555"/>
      <c r="D8" s="555"/>
    </row>
    <row r="9" spans="1:4" ht="15" customHeight="1" x14ac:dyDescent="0.25">
      <c r="A9" s="45" t="s">
        <v>699</v>
      </c>
      <c r="B9" s="263" t="s">
        <v>700</v>
      </c>
      <c r="C9" s="555" t="str">
        <f>'DADOS CCT'!B79</f>
        <v>SILVEIRA MARTINS</v>
      </c>
      <c r="D9" s="555"/>
    </row>
    <row r="10" spans="1:4" ht="15" customHeight="1" x14ac:dyDescent="0.25">
      <c r="A10" s="45" t="s">
        <v>701</v>
      </c>
      <c r="B10" s="263" t="s">
        <v>702</v>
      </c>
      <c r="C10" s="555" t="str">
        <f>'DADOS CCT'!C79&amp;" - "&amp;'DADOS CCT'!D80</f>
        <v>SEEAC/RS - RS004917/2023</v>
      </c>
      <c r="D10" s="555"/>
    </row>
    <row r="11" spans="1:4" ht="15" customHeight="1" x14ac:dyDescent="0.25">
      <c r="A11" s="45" t="s">
        <v>703</v>
      </c>
      <c r="B11" s="263" t="s">
        <v>704</v>
      </c>
      <c r="C11" s="556">
        <v>12</v>
      </c>
      <c r="D11" s="556"/>
    </row>
    <row r="12" spans="1:4" ht="15" customHeight="1" x14ac:dyDescent="0.25">
      <c r="A12" s="45" t="s">
        <v>705</v>
      </c>
      <c r="B12" s="263" t="s">
        <v>706</v>
      </c>
      <c r="C12" s="557">
        <f>'DADOS CCT'!D81</f>
        <v>45292</v>
      </c>
      <c r="D12" s="557"/>
    </row>
    <row r="13" spans="1:4" ht="29.25" customHeight="1" x14ac:dyDescent="0.25">
      <c r="A13" s="45" t="s">
        <v>707</v>
      </c>
      <c r="B13" s="315" t="s">
        <v>708</v>
      </c>
      <c r="C13" s="558" t="s">
        <v>709</v>
      </c>
      <c r="D13" s="558"/>
    </row>
    <row r="14" spans="1:4" x14ac:dyDescent="0.25">
      <c r="A14" s="130" t="s">
        <v>710</v>
      </c>
      <c r="B14" s="131" t="s">
        <v>711</v>
      </c>
      <c r="C14" s="559" t="s">
        <v>712</v>
      </c>
      <c r="D14" s="559"/>
    </row>
    <row r="15" spans="1:4" x14ac:dyDescent="0.25">
      <c r="A15" s="130" t="s">
        <v>713</v>
      </c>
      <c r="B15" s="131" t="s">
        <v>714</v>
      </c>
      <c r="C15" s="559" t="s">
        <v>907</v>
      </c>
      <c r="D15" s="559"/>
    </row>
    <row r="16" spans="1:4" x14ac:dyDescent="0.25">
      <c r="A16" s="130" t="s">
        <v>716</v>
      </c>
      <c r="B16" s="131" t="s">
        <v>717</v>
      </c>
      <c r="C16" s="559" t="str">
        <f ca="1">RIGHT(CELL("nome.arquivo",A1),LEN(CELL("nome.arquivo",A1))-SEARCH("]",CELL("nome.arquivo",A1)))</f>
        <v>5143-20 AUX.LB 5x2 DIURNO SVM</v>
      </c>
      <c r="D16" s="559"/>
    </row>
    <row r="17" spans="1:4" x14ac:dyDescent="0.25">
      <c r="A17" s="130" t="s">
        <v>718</v>
      </c>
      <c r="B17" s="131" t="s">
        <v>719</v>
      </c>
      <c r="C17" s="560" t="s">
        <v>1197</v>
      </c>
      <c r="D17" s="560"/>
    </row>
    <row r="18" spans="1:4" x14ac:dyDescent="0.25">
      <c r="A18" s="130" t="s">
        <v>721</v>
      </c>
      <c r="B18" s="131" t="s">
        <v>722</v>
      </c>
      <c r="C18" s="560">
        <v>21</v>
      </c>
      <c r="D18" s="560"/>
    </row>
    <row r="19" spans="1:4" ht="15.75" customHeight="1" x14ac:dyDescent="0.25">
      <c r="A19" s="130" t="s">
        <v>723</v>
      </c>
      <c r="B19" s="131" t="s">
        <v>724</v>
      </c>
      <c r="C19" s="560">
        <f>'DADOS CCT'!D82</f>
        <v>1540.51</v>
      </c>
      <c r="D19" s="560"/>
    </row>
    <row r="20" spans="1:4" ht="15.75" customHeight="1" x14ac:dyDescent="0.25">
      <c r="A20" s="130" t="s">
        <v>725</v>
      </c>
      <c r="B20" s="132" t="s">
        <v>726</v>
      </c>
      <c r="C20" s="573">
        <f>C19/220</f>
        <v>7.0023181818181817</v>
      </c>
      <c r="D20" s="573"/>
    </row>
    <row r="21" spans="1:4" ht="15.75" customHeight="1" x14ac:dyDescent="0.25">
      <c r="A21" s="130" t="s">
        <v>727</v>
      </c>
      <c r="B21" s="132" t="s">
        <v>728</v>
      </c>
      <c r="C21" s="573">
        <f>C20*1.5</f>
        <v>10.503477272727272</v>
      </c>
      <c r="D21" s="573"/>
    </row>
    <row r="22" spans="1:4" ht="15.75" customHeight="1" x14ac:dyDescent="0.25">
      <c r="A22" s="130" t="s">
        <v>729</v>
      </c>
      <c r="B22" s="132" t="s">
        <v>730</v>
      </c>
      <c r="C22" s="573">
        <f>C20*2</f>
        <v>14.004636363636363</v>
      </c>
      <c r="D22" s="573"/>
    </row>
    <row r="23" spans="1:4" ht="15.75" customHeight="1" thickBot="1" x14ac:dyDescent="0.3">
      <c r="A23" s="133" t="s">
        <v>731</v>
      </c>
      <c r="B23" s="134" t="s">
        <v>732</v>
      </c>
      <c r="C23" s="574">
        <f>C20*0.2</f>
        <v>1.4004636363636365</v>
      </c>
      <c r="D23" s="574"/>
    </row>
    <row r="24" spans="1:4" ht="15.95" customHeight="1" thickBot="1" x14ac:dyDescent="0.3">
      <c r="A24" s="125"/>
      <c r="B24" s="42"/>
      <c r="C24" s="126"/>
      <c r="D24" s="127"/>
    </row>
    <row r="25" spans="1:4" ht="15.75" thickBot="1" x14ac:dyDescent="0.3">
      <c r="A25" s="565"/>
      <c r="B25" s="566"/>
      <c r="C25" s="567" t="str">
        <f>'DADOS CCT'!D3</f>
        <v>00 - VALOR ESTIMADO</v>
      </c>
      <c r="D25" s="568"/>
    </row>
    <row r="26" spans="1:4" ht="6" customHeight="1" thickBot="1" x14ac:dyDescent="0.3">
      <c r="A26" s="4"/>
      <c r="B26" s="1"/>
      <c r="C26" s="5"/>
      <c r="D26" s="6"/>
    </row>
    <row r="27" spans="1:4" ht="18" customHeight="1" x14ac:dyDescent="0.25">
      <c r="A27" s="569" t="s">
        <v>733</v>
      </c>
      <c r="B27" s="570"/>
      <c r="C27" s="190"/>
      <c r="D27" s="191" t="s">
        <v>734</v>
      </c>
    </row>
    <row r="28" spans="1:4" ht="15.75" customHeight="1" x14ac:dyDescent="0.25">
      <c r="A28" s="45" t="s">
        <v>735</v>
      </c>
      <c r="B28" s="46" t="s">
        <v>736</v>
      </c>
      <c r="C28" s="135">
        <v>200</v>
      </c>
      <c r="D28" s="28">
        <f>C28*C19/220</f>
        <v>1400.4636363636364</v>
      </c>
    </row>
    <row r="29" spans="1:4" ht="15.75" customHeight="1" x14ac:dyDescent="0.25">
      <c r="A29" s="45" t="s">
        <v>737</v>
      </c>
      <c r="B29" s="46" t="s">
        <v>738</v>
      </c>
      <c r="C29" s="136"/>
      <c r="D29" s="28">
        <f>D$28*C29</f>
        <v>0</v>
      </c>
    </row>
    <row r="30" spans="1:4" ht="15.75" customHeight="1" x14ac:dyDescent="0.25">
      <c r="A30" s="45" t="s">
        <v>739</v>
      </c>
      <c r="B30" s="46" t="s">
        <v>740</v>
      </c>
      <c r="C30" s="136">
        <v>0.4</v>
      </c>
      <c r="D30" s="208">
        <f>C30*C19</f>
        <v>616.20400000000006</v>
      </c>
    </row>
    <row r="31" spans="1:4" ht="15.75" customHeight="1" x14ac:dyDescent="0.25">
      <c r="A31" s="45" t="s">
        <v>741</v>
      </c>
      <c r="B31" s="46" t="s">
        <v>742</v>
      </c>
      <c r="C31" s="28"/>
      <c r="D31" s="28">
        <f>(D28/C28)*0.2*C31*(60/52.5)</f>
        <v>0</v>
      </c>
    </row>
    <row r="32" spans="1:4" ht="15.75" customHeight="1" x14ac:dyDescent="0.25">
      <c r="A32" s="45" t="s">
        <v>743</v>
      </c>
      <c r="B32" s="46" t="s">
        <v>744</v>
      </c>
      <c r="C32" s="28"/>
      <c r="D32" s="28">
        <f>(D28/C28)*1.5*C32</f>
        <v>0</v>
      </c>
    </row>
    <row r="33" spans="1:4" ht="15.75" customHeight="1" x14ac:dyDescent="0.25">
      <c r="A33" s="571" t="s">
        <v>745</v>
      </c>
      <c r="B33" s="572"/>
      <c r="C33" s="184"/>
      <c r="D33" s="185">
        <f>SUM(D28:D32)</f>
        <v>2016.6676363636366</v>
      </c>
    </row>
    <row r="34" spans="1:4" ht="15.75" customHeight="1" x14ac:dyDescent="0.25">
      <c r="A34" s="45" t="s">
        <v>746</v>
      </c>
      <c r="B34" s="46" t="s">
        <v>747</v>
      </c>
      <c r="C34" s="28"/>
      <c r="D34" s="28">
        <f>15*C34*(D28/C28)*1.5</f>
        <v>0</v>
      </c>
    </row>
    <row r="35" spans="1:4" ht="15.75" customHeight="1" x14ac:dyDescent="0.25">
      <c r="A35" s="45" t="s">
        <v>748</v>
      </c>
      <c r="B35" s="46" t="s">
        <v>749</v>
      </c>
      <c r="C35" s="139">
        <f>'DADOS CCT'!D84</f>
        <v>0</v>
      </c>
      <c r="D35" s="28">
        <f>D28*C35</f>
        <v>0</v>
      </c>
    </row>
    <row r="36" spans="1:4" ht="15.75" customHeight="1" x14ac:dyDescent="0.25">
      <c r="A36" s="45" t="s">
        <v>750</v>
      </c>
      <c r="B36" s="46" t="s">
        <v>751</v>
      </c>
      <c r="C36" s="136"/>
      <c r="D36" s="28">
        <f>D$28*C36</f>
        <v>0</v>
      </c>
    </row>
    <row r="37" spans="1:4" ht="15.75" customHeight="1" thickBot="1" x14ac:dyDescent="0.3">
      <c r="A37" s="575" t="s">
        <v>752</v>
      </c>
      <c r="B37" s="576"/>
      <c r="C37" s="188"/>
      <c r="D37" s="189">
        <f>SUM(D33:D36)</f>
        <v>2016.6676363636366</v>
      </c>
    </row>
    <row r="38" spans="1:4" ht="24" customHeight="1" x14ac:dyDescent="0.25">
      <c r="A38" s="577" t="s">
        <v>1233</v>
      </c>
      <c r="B38" s="578"/>
      <c r="C38" s="8"/>
      <c r="D38" s="127"/>
    </row>
    <row r="39" spans="1:4" ht="8.1" customHeight="1" thickBot="1" x14ac:dyDescent="0.3">
      <c r="A39" s="7"/>
      <c r="B39" s="16"/>
      <c r="C39" s="8"/>
      <c r="D39" s="127"/>
    </row>
    <row r="40" spans="1:4" ht="18" customHeight="1" x14ac:dyDescent="0.25">
      <c r="A40" s="579" t="s">
        <v>753</v>
      </c>
      <c r="B40" s="580"/>
      <c r="C40" s="142"/>
      <c r="D40" s="187"/>
    </row>
    <row r="41" spans="1:4" ht="6" customHeight="1" x14ac:dyDescent="0.25">
      <c r="A41" s="125"/>
      <c r="B41" s="42"/>
      <c r="C41" s="126"/>
      <c r="D41" s="127"/>
    </row>
    <row r="42" spans="1:4" ht="15.75" customHeight="1" x14ac:dyDescent="0.25">
      <c r="A42" s="581" t="s">
        <v>754</v>
      </c>
      <c r="B42" s="572"/>
      <c r="C42" s="182"/>
      <c r="D42" s="183" t="s">
        <v>734</v>
      </c>
    </row>
    <row r="43" spans="1:4" ht="15" customHeight="1" x14ac:dyDescent="0.25">
      <c r="A43" s="45" t="s">
        <v>755</v>
      </c>
      <c r="B43" s="46" t="s">
        <v>756</v>
      </c>
      <c r="C43" s="136">
        <v>8.3299999999999999E-2</v>
      </c>
      <c r="D43" s="28">
        <f>D$33*C43</f>
        <v>167.98841410909091</v>
      </c>
    </row>
    <row r="44" spans="1:4" ht="15" customHeight="1" x14ac:dyDescent="0.25">
      <c r="A44" s="45" t="s">
        <v>757</v>
      </c>
      <c r="B44" s="46" t="s">
        <v>758</v>
      </c>
      <c r="C44" s="143">
        <v>3.0249999999999999E-2</v>
      </c>
      <c r="D44" s="28">
        <f>D$33*C44</f>
        <v>61.004196000000007</v>
      </c>
    </row>
    <row r="45" spans="1:4" ht="15.75" customHeight="1" x14ac:dyDescent="0.25">
      <c r="A45" s="582" t="s">
        <v>752</v>
      </c>
      <c r="B45" s="572"/>
      <c r="C45" s="186"/>
      <c r="D45" s="185">
        <f>SUM(D43:D44)</f>
        <v>228.99261010909092</v>
      </c>
    </row>
    <row r="46" spans="1:4" ht="37.5" customHeight="1" x14ac:dyDescent="0.25">
      <c r="A46" s="583" t="s">
        <v>759</v>
      </c>
      <c r="B46" s="584"/>
      <c r="C46" s="141"/>
      <c r="D46" s="41"/>
    </row>
    <row r="47" spans="1:4" ht="8.1" customHeight="1" x14ac:dyDescent="0.25">
      <c r="A47" s="125"/>
      <c r="B47" s="33"/>
      <c r="C47" s="126"/>
      <c r="D47" s="127"/>
    </row>
    <row r="48" spans="1:4" ht="15.75" customHeight="1" x14ac:dyDescent="0.25">
      <c r="A48" s="581" t="s">
        <v>760</v>
      </c>
      <c r="B48" s="572"/>
      <c r="C48" s="182"/>
      <c r="D48" s="183" t="s">
        <v>734</v>
      </c>
    </row>
    <row r="49" spans="1:4" ht="15" customHeight="1" x14ac:dyDescent="0.25">
      <c r="A49" s="45" t="s">
        <v>761</v>
      </c>
      <c r="B49" s="46" t="s">
        <v>762</v>
      </c>
      <c r="C49" s="136">
        <v>0.2</v>
      </c>
      <c r="D49" s="28">
        <f t="shared" ref="D49:D57" si="0">(D$33+D$45)*C49</f>
        <v>449.13204929454554</v>
      </c>
    </row>
    <row r="50" spans="1:4" ht="15" customHeight="1" x14ac:dyDescent="0.25">
      <c r="A50" s="45" t="s">
        <v>763</v>
      </c>
      <c r="B50" s="46" t="s">
        <v>764</v>
      </c>
      <c r="C50" s="136">
        <v>2.5000000000000001E-2</v>
      </c>
      <c r="D50" s="28">
        <f t="shared" si="0"/>
        <v>56.141506161818192</v>
      </c>
    </row>
    <row r="51" spans="1:4" ht="15" customHeight="1" x14ac:dyDescent="0.25">
      <c r="A51" s="45" t="s">
        <v>765</v>
      </c>
      <c r="B51" s="46" t="s">
        <v>766</v>
      </c>
      <c r="C51" s="144">
        <f>'DADOS CCT'!D$94*'DADOS CCT'!D$95</f>
        <v>0.06</v>
      </c>
      <c r="D51" s="28">
        <f t="shared" si="0"/>
        <v>134.73961478836364</v>
      </c>
    </row>
    <row r="52" spans="1:4" ht="15" customHeight="1" x14ac:dyDescent="0.25">
      <c r="A52" s="45" t="s">
        <v>767</v>
      </c>
      <c r="B52" s="46" t="s">
        <v>768</v>
      </c>
      <c r="C52" s="136">
        <v>1.4999999999999999E-2</v>
      </c>
      <c r="D52" s="28">
        <f t="shared" si="0"/>
        <v>33.68490369709091</v>
      </c>
    </row>
    <row r="53" spans="1:4" ht="15" customHeight="1" x14ac:dyDescent="0.25">
      <c r="A53" s="45" t="s">
        <v>769</v>
      </c>
      <c r="B53" s="46" t="s">
        <v>770</v>
      </c>
      <c r="C53" s="136">
        <v>0.01</v>
      </c>
      <c r="D53" s="28">
        <f t="shared" si="0"/>
        <v>22.456602464727276</v>
      </c>
    </row>
    <row r="54" spans="1:4" ht="15" customHeight="1" x14ac:dyDescent="0.25">
      <c r="A54" s="45" t="s">
        <v>771</v>
      </c>
      <c r="B54" s="46" t="s">
        <v>772</v>
      </c>
      <c r="C54" s="136">
        <v>6.0000000000000001E-3</v>
      </c>
      <c r="D54" s="28">
        <f t="shared" si="0"/>
        <v>13.473961478836365</v>
      </c>
    </row>
    <row r="55" spans="1:4" ht="15" customHeight="1" x14ac:dyDescent="0.25">
      <c r="A55" s="45" t="s">
        <v>773</v>
      </c>
      <c r="B55" s="46" t="s">
        <v>774</v>
      </c>
      <c r="C55" s="136">
        <v>2E-3</v>
      </c>
      <c r="D55" s="28">
        <f t="shared" si="0"/>
        <v>4.4913204929454551</v>
      </c>
    </row>
    <row r="56" spans="1:4" ht="15" customHeight="1" x14ac:dyDescent="0.25">
      <c r="A56" s="45" t="s">
        <v>775</v>
      </c>
      <c r="B56" s="46" t="s">
        <v>776</v>
      </c>
      <c r="C56" s="136">
        <v>0.08</v>
      </c>
      <c r="D56" s="28">
        <f t="shared" si="0"/>
        <v>179.6528197178182</v>
      </c>
    </row>
    <row r="57" spans="1:4" ht="15" customHeight="1" x14ac:dyDescent="0.25">
      <c r="A57" s="45" t="s">
        <v>777</v>
      </c>
      <c r="B57" s="46" t="s">
        <v>778</v>
      </c>
      <c r="C57" s="136"/>
      <c r="D57" s="28">
        <f t="shared" si="0"/>
        <v>0</v>
      </c>
    </row>
    <row r="58" spans="1:4" ht="15.75" customHeight="1" x14ac:dyDescent="0.25">
      <c r="A58" s="585" t="s">
        <v>752</v>
      </c>
      <c r="B58" s="412"/>
      <c r="C58" s="137">
        <f>SUM(C49:C50,C51:C57)</f>
        <v>0.39800000000000008</v>
      </c>
      <c r="D58" s="138">
        <f>SUM(D49:D57)</f>
        <v>893.77277809614566</v>
      </c>
    </row>
    <row r="59" spans="1:4" ht="20.25" customHeight="1" x14ac:dyDescent="0.25">
      <c r="A59" s="583" t="s">
        <v>779</v>
      </c>
      <c r="B59" s="586"/>
      <c r="C59" s="141"/>
      <c r="D59" s="41"/>
    </row>
    <row r="60" spans="1:4" ht="8.1" customHeight="1" x14ac:dyDescent="0.25">
      <c r="A60" s="125"/>
      <c r="B60" s="33"/>
      <c r="C60" s="140"/>
      <c r="D60" s="127"/>
    </row>
    <row r="61" spans="1:4" ht="15.75" customHeight="1" x14ac:dyDescent="0.25">
      <c r="A61" s="581" t="s">
        <v>780</v>
      </c>
      <c r="B61" s="572"/>
      <c r="C61" s="182"/>
      <c r="D61" s="183" t="s">
        <v>734</v>
      </c>
    </row>
    <row r="62" spans="1:4" ht="15.75" customHeight="1" x14ac:dyDescent="0.25">
      <c r="A62" s="45" t="s">
        <v>781</v>
      </c>
      <c r="B62" s="46" t="s">
        <v>782</v>
      </c>
      <c r="C62" s="145"/>
      <c r="D62" s="138">
        <f>((C63*C64*C65)-D66)*C67</f>
        <v>-84.027818181818176</v>
      </c>
    </row>
    <row r="63" spans="1:4" ht="15.75" customHeight="1" x14ac:dyDescent="0.25">
      <c r="A63" s="45" t="s">
        <v>783</v>
      </c>
      <c r="B63" s="46" t="s">
        <v>784</v>
      </c>
      <c r="C63" s="146">
        <f>'DADOS CCT'!D85</f>
        <v>0</v>
      </c>
      <c r="D63" s="28">
        <v>0</v>
      </c>
    </row>
    <row r="64" spans="1:4" ht="15.75" customHeight="1" x14ac:dyDescent="0.25">
      <c r="A64" s="45" t="s">
        <v>785</v>
      </c>
      <c r="B64" s="46" t="s">
        <v>786</v>
      </c>
      <c r="C64" s="28">
        <v>2</v>
      </c>
      <c r="D64" s="28">
        <v>0</v>
      </c>
    </row>
    <row r="65" spans="1:4" ht="15.75" customHeight="1" x14ac:dyDescent="0.25">
      <c r="A65" s="45" t="s">
        <v>787</v>
      </c>
      <c r="B65" s="46" t="s">
        <v>788</v>
      </c>
      <c r="C65" s="147">
        <f>C$18</f>
        <v>21</v>
      </c>
      <c r="D65" s="28">
        <v>0</v>
      </c>
    </row>
    <row r="66" spans="1:4" ht="15.75" customHeight="1" x14ac:dyDescent="0.25">
      <c r="A66" s="45" t="s">
        <v>789</v>
      </c>
      <c r="B66" s="46" t="s">
        <v>790</v>
      </c>
      <c r="C66" s="136">
        <v>0.06</v>
      </c>
      <c r="D66" s="28">
        <f>C66*D$28</f>
        <v>84.027818181818176</v>
      </c>
    </row>
    <row r="67" spans="1:4" ht="15.75" customHeight="1" x14ac:dyDescent="0.25">
      <c r="A67" s="45" t="s">
        <v>791</v>
      </c>
      <c r="B67" s="46" t="s">
        <v>792</v>
      </c>
      <c r="C67" s="144">
        <f>'DADOS CCT'!D86</f>
        <v>1</v>
      </c>
      <c r="D67" s="28">
        <v>0</v>
      </c>
    </row>
    <row r="68" spans="1:4" ht="15.75" customHeight="1" x14ac:dyDescent="0.25">
      <c r="A68" s="45" t="s">
        <v>793</v>
      </c>
      <c r="B68" s="46" t="s">
        <v>794</v>
      </c>
      <c r="C68" s="136"/>
      <c r="D68" s="138">
        <f>(C69*C70)-D71</f>
        <v>402.79679999999996</v>
      </c>
    </row>
    <row r="69" spans="1:4" ht="15.75" customHeight="1" x14ac:dyDescent="0.25">
      <c r="A69" s="45" t="s">
        <v>795</v>
      </c>
      <c r="B69" s="46" t="s">
        <v>796</v>
      </c>
      <c r="C69" s="146">
        <f>'DADOS CCT'!D87</f>
        <v>23.68</v>
      </c>
      <c r="D69" s="28">
        <v>0</v>
      </c>
    </row>
    <row r="70" spans="1:4" ht="15.75" customHeight="1" x14ac:dyDescent="0.25">
      <c r="A70" s="45" t="s">
        <v>797</v>
      </c>
      <c r="B70" s="46" t="s">
        <v>798</v>
      </c>
      <c r="C70" s="147">
        <f>C$18</f>
        <v>21</v>
      </c>
      <c r="D70" s="28">
        <v>0</v>
      </c>
    </row>
    <row r="71" spans="1:4" ht="15.75" customHeight="1" x14ac:dyDescent="0.25">
      <c r="A71" s="45" t="s">
        <v>799</v>
      </c>
      <c r="B71" s="46" t="s">
        <v>800</v>
      </c>
      <c r="C71" s="144">
        <f>'DADOS CCT'!D89</f>
        <v>0.19</v>
      </c>
      <c r="D71" s="28">
        <f>(C69*C70)*C71</f>
        <v>94.483199999999997</v>
      </c>
    </row>
    <row r="72" spans="1:4" ht="15.75" customHeight="1" x14ac:dyDescent="0.25">
      <c r="A72" s="45" t="s">
        <v>801</v>
      </c>
      <c r="B72" s="46" t="s">
        <v>802</v>
      </c>
      <c r="C72" s="136"/>
      <c r="D72" s="208">
        <f>'DADOS CCT'!D$90</f>
        <v>19.420000000000002</v>
      </c>
    </row>
    <row r="73" spans="1:4" ht="15.75" customHeight="1" x14ac:dyDescent="0.25">
      <c r="A73" s="45" t="s">
        <v>803</v>
      </c>
      <c r="B73" s="46" t="s">
        <v>804</v>
      </c>
      <c r="C73" s="136"/>
      <c r="D73" s="28">
        <v>0</v>
      </c>
    </row>
    <row r="74" spans="1:4" ht="15.75" customHeight="1" x14ac:dyDescent="0.25">
      <c r="A74" s="45" t="s">
        <v>805</v>
      </c>
      <c r="B74" s="46" t="s">
        <v>778</v>
      </c>
      <c r="C74" s="136"/>
      <c r="D74" s="28">
        <v>0</v>
      </c>
    </row>
    <row r="75" spans="1:4" ht="15.75" customHeight="1" x14ac:dyDescent="0.25">
      <c r="A75" s="582" t="s">
        <v>752</v>
      </c>
      <c r="B75" s="572"/>
      <c r="C75" s="184"/>
      <c r="D75" s="185">
        <f>SUM(D62,D68,D72:D74)</f>
        <v>338.18898181818179</v>
      </c>
    </row>
    <row r="76" spans="1:4" ht="38.25" customHeight="1" x14ac:dyDescent="0.25">
      <c r="A76" s="583" t="s">
        <v>1102</v>
      </c>
      <c r="B76" s="586"/>
      <c r="C76" s="40"/>
      <c r="D76" s="41"/>
    </row>
    <row r="77" spans="1:4" ht="8.1" customHeight="1" x14ac:dyDescent="0.25">
      <c r="A77" s="125"/>
      <c r="B77" s="33"/>
      <c r="C77" s="140"/>
      <c r="D77" s="127"/>
    </row>
    <row r="78" spans="1:4" ht="15.75" customHeight="1" x14ac:dyDescent="0.25">
      <c r="A78" s="581" t="s">
        <v>806</v>
      </c>
      <c r="B78" s="572"/>
      <c r="C78" s="182"/>
      <c r="D78" s="183" t="s">
        <v>734</v>
      </c>
    </row>
    <row r="79" spans="1:4" ht="15.75" customHeight="1" x14ac:dyDescent="0.25">
      <c r="A79" s="45" t="s">
        <v>807</v>
      </c>
      <c r="B79" s="46" t="s">
        <v>808</v>
      </c>
      <c r="C79" s="136"/>
      <c r="D79" s="28">
        <f>D45</f>
        <v>228.99261010909092</v>
      </c>
    </row>
    <row r="80" spans="1:4" ht="15.75" customHeight="1" x14ac:dyDescent="0.25">
      <c r="A80" s="45" t="s">
        <v>809</v>
      </c>
      <c r="B80" s="46" t="s">
        <v>810</v>
      </c>
      <c r="C80" s="28"/>
      <c r="D80" s="28">
        <f>D58</f>
        <v>893.77277809614566</v>
      </c>
    </row>
    <row r="81" spans="1:4" ht="15.75" customHeight="1" x14ac:dyDescent="0.25">
      <c r="A81" s="45" t="s">
        <v>811</v>
      </c>
      <c r="B81" s="46" t="s">
        <v>812</v>
      </c>
      <c r="C81" s="28"/>
      <c r="D81" s="28">
        <f>D75</f>
        <v>338.18898181818179</v>
      </c>
    </row>
    <row r="82" spans="1:4" ht="15.75" customHeight="1" thickBot="1" x14ac:dyDescent="0.3">
      <c r="A82" s="589" t="s">
        <v>752</v>
      </c>
      <c r="B82" s="590"/>
      <c r="C82" s="180"/>
      <c r="D82" s="181">
        <f>SUM(D79:D81)</f>
        <v>1460.9543700234185</v>
      </c>
    </row>
    <row r="83" spans="1:4" ht="8.1" customHeight="1" x14ac:dyDescent="0.25">
      <c r="A83" s="148"/>
      <c r="B83" s="149"/>
      <c r="C83" s="40"/>
      <c r="D83" s="41"/>
    </row>
    <row r="84" spans="1:4" ht="8.1" customHeight="1" thickBot="1" x14ac:dyDescent="0.3">
      <c r="A84" s="4"/>
      <c r="B84" s="1"/>
      <c r="C84" s="22"/>
      <c r="D84" s="6"/>
    </row>
    <row r="85" spans="1:4" ht="18" customHeight="1" x14ac:dyDescent="0.25">
      <c r="A85" s="591" t="s">
        <v>813</v>
      </c>
      <c r="B85" s="592"/>
      <c r="C85" s="12"/>
      <c r="D85" s="150" t="s">
        <v>734</v>
      </c>
    </row>
    <row r="86" spans="1:4" ht="15.75" customHeight="1" x14ac:dyDescent="0.25">
      <c r="A86" s="209" t="s">
        <v>814</v>
      </c>
      <c r="B86" s="210" t="s">
        <v>815</v>
      </c>
      <c r="C86" s="211">
        <v>0.05</v>
      </c>
      <c r="D86" s="212">
        <f>(D$33/$C$11)*C86*C89</f>
        <v>8.4027818181818201</v>
      </c>
    </row>
    <row r="87" spans="1:4" ht="15.75" customHeight="1" x14ac:dyDescent="0.25">
      <c r="A87" s="209" t="s">
        <v>816</v>
      </c>
      <c r="B87" s="210" t="s">
        <v>817</v>
      </c>
      <c r="C87" s="211">
        <f>C56</f>
        <v>0.08</v>
      </c>
      <c r="D87" s="212">
        <f>D86*C87</f>
        <v>0.67222254545454563</v>
      </c>
    </row>
    <row r="88" spans="1:4" ht="15.75" customHeight="1" x14ac:dyDescent="0.25">
      <c r="A88" s="209" t="s">
        <v>818</v>
      </c>
      <c r="B88" s="210" t="s">
        <v>819</v>
      </c>
      <c r="C88" s="211">
        <v>0.04</v>
      </c>
      <c r="D88" s="212">
        <f>D$33*C88</f>
        <v>80.666705454545465</v>
      </c>
    </row>
    <row r="89" spans="1:4" ht="15.75" customHeight="1" x14ac:dyDescent="0.25">
      <c r="A89" s="213" t="s">
        <v>820</v>
      </c>
      <c r="B89" s="214" t="s">
        <v>821</v>
      </c>
      <c r="C89" s="215">
        <v>1</v>
      </c>
      <c r="D89" s="216">
        <v>0</v>
      </c>
    </row>
    <row r="90" spans="1:4" ht="15.75" customHeight="1" x14ac:dyDescent="0.25">
      <c r="A90" s="18" t="s">
        <v>822</v>
      </c>
      <c r="B90" s="13" t="s">
        <v>823</v>
      </c>
      <c r="C90" s="15">
        <v>1</v>
      </c>
      <c r="D90" s="14">
        <f>(((D$33/30)*7)/12)*C90*C93</f>
        <v>39.212981818181817</v>
      </c>
    </row>
    <row r="91" spans="1:4" ht="15.75" customHeight="1" x14ac:dyDescent="0.25">
      <c r="A91" s="18" t="s">
        <v>820</v>
      </c>
      <c r="B91" s="13" t="s">
        <v>824</v>
      </c>
      <c r="C91" s="15">
        <f>C58</f>
        <v>0.39800000000000008</v>
      </c>
      <c r="D91" s="14">
        <f>D90*C91</f>
        <v>15.606766763636365</v>
      </c>
    </row>
    <row r="92" spans="1:4" ht="15.75" customHeight="1" x14ac:dyDescent="0.25">
      <c r="A92" s="18" t="s">
        <v>822</v>
      </c>
      <c r="B92" s="13" t="s">
        <v>825</v>
      </c>
      <c r="C92" s="17">
        <v>3.8080000000000003E-2</v>
      </c>
      <c r="D92" s="14">
        <f>D$33*C92</f>
        <v>76.794703592727288</v>
      </c>
    </row>
    <row r="93" spans="1:4" ht="15.75" customHeight="1" x14ac:dyDescent="0.25">
      <c r="A93" s="66" t="s">
        <v>826</v>
      </c>
      <c r="B93" s="34" t="s">
        <v>827</v>
      </c>
      <c r="C93" s="67">
        <v>1</v>
      </c>
      <c r="D93" s="35">
        <v>0</v>
      </c>
    </row>
    <row r="94" spans="1:4" ht="15.75" customHeight="1" thickBot="1" x14ac:dyDescent="0.3">
      <c r="A94" s="593" t="s">
        <v>752</v>
      </c>
      <c r="B94" s="594"/>
      <c r="C94" s="172"/>
      <c r="D94" s="173">
        <f>SUM(D86:D88,D90:D92)</f>
        <v>221.35616199272727</v>
      </c>
    </row>
    <row r="95" spans="1:4" ht="51" customHeight="1" x14ac:dyDescent="0.25">
      <c r="A95" s="577" t="s">
        <v>828</v>
      </c>
      <c r="B95" s="578"/>
      <c r="C95" s="3"/>
      <c r="D95" s="41"/>
    </row>
    <row r="96" spans="1:4" ht="15.95" customHeight="1" thickBot="1" x14ac:dyDescent="0.3">
      <c r="A96" s="4"/>
      <c r="B96" s="1"/>
      <c r="C96" s="22"/>
      <c r="D96" s="6"/>
    </row>
    <row r="97" spans="1:4" ht="18" customHeight="1" x14ac:dyDescent="0.25">
      <c r="A97" s="591" t="s">
        <v>829</v>
      </c>
      <c r="B97" s="592"/>
      <c r="C97" s="12"/>
      <c r="D97" s="150" t="s">
        <v>734</v>
      </c>
    </row>
    <row r="98" spans="1:4" ht="8.1" customHeight="1" x14ac:dyDescent="0.25">
      <c r="A98" s="7"/>
      <c r="C98" s="8"/>
      <c r="D98" s="127"/>
    </row>
    <row r="99" spans="1:4" ht="15.75" customHeight="1" x14ac:dyDescent="0.25">
      <c r="A99" s="587" t="s">
        <v>830</v>
      </c>
      <c r="B99" s="588"/>
      <c r="C99" s="151"/>
      <c r="D99" s="152">
        <f>SUM(D33,D45,D102)</f>
        <v>2428.6728344727276</v>
      </c>
    </row>
    <row r="100" spans="1:4" ht="8.1" customHeight="1" x14ac:dyDescent="0.25">
      <c r="A100" s="7"/>
      <c r="C100" s="8"/>
      <c r="D100" s="127"/>
    </row>
    <row r="101" spans="1:4" ht="15.75" customHeight="1" x14ac:dyDescent="0.25">
      <c r="A101" s="587" t="s">
        <v>831</v>
      </c>
      <c r="B101" s="588"/>
      <c r="C101" s="151"/>
      <c r="D101" s="152" t="s">
        <v>734</v>
      </c>
    </row>
    <row r="102" spans="1:4" ht="15.75" customHeight="1" x14ac:dyDescent="0.25">
      <c r="A102" s="18" t="s">
        <v>832</v>
      </c>
      <c r="B102" s="13" t="s">
        <v>833</v>
      </c>
      <c r="C102" s="17">
        <v>9.0749999999999997E-2</v>
      </c>
      <c r="D102" s="14">
        <f>D$33*C102</f>
        <v>183.01258800000002</v>
      </c>
    </row>
    <row r="103" spans="1:4" ht="15.75" customHeight="1" x14ac:dyDescent="0.25">
      <c r="A103" s="18" t="s">
        <v>834</v>
      </c>
      <c r="B103" s="13" t="s">
        <v>835</v>
      </c>
      <c r="C103" s="14">
        <v>1</v>
      </c>
      <c r="D103" s="14">
        <f>((D99/30)*C103)/12</f>
        <v>6.7463134290909101</v>
      </c>
    </row>
    <row r="104" spans="1:4" ht="15.75" customHeight="1" x14ac:dyDescent="0.25">
      <c r="A104" s="18" t="s">
        <v>836</v>
      </c>
      <c r="B104" s="13" t="s">
        <v>837</v>
      </c>
      <c r="C104" s="15">
        <v>1.4999999999999999E-2</v>
      </c>
      <c r="D104" s="14">
        <f>((D99/30)*5/12)*C104</f>
        <v>0.50597350718181822</v>
      </c>
    </row>
    <row r="105" spans="1:4" ht="15.75" customHeight="1" x14ac:dyDescent="0.25">
      <c r="A105" s="18" t="s">
        <v>838</v>
      </c>
      <c r="B105" s="13" t="s">
        <v>839</v>
      </c>
      <c r="C105" s="15">
        <v>7.7999999999999996E-3</v>
      </c>
      <c r="D105" s="14">
        <f>((D99/30)*15/12)*C105</f>
        <v>0.78931867120363641</v>
      </c>
    </row>
    <row r="106" spans="1:4" ht="15.75" customHeight="1" x14ac:dyDescent="0.25">
      <c r="A106" s="18" t="s">
        <v>840</v>
      </c>
      <c r="B106" s="13" t="s">
        <v>841</v>
      </c>
      <c r="C106" s="15">
        <v>0.02</v>
      </c>
      <c r="D106" s="14">
        <f>(((D33+(D33/3))/12)*(4/12))*C106</f>
        <v>1.4938278787878789</v>
      </c>
    </row>
    <row r="107" spans="1:4" ht="15.75" customHeight="1" x14ac:dyDescent="0.25">
      <c r="A107" s="18" t="s">
        <v>842</v>
      </c>
      <c r="B107" s="13" t="s">
        <v>843</v>
      </c>
      <c r="C107" s="14">
        <v>3</v>
      </c>
      <c r="D107" s="14">
        <f>((D99/30)*C107)/12</f>
        <v>20.23894028727273</v>
      </c>
    </row>
    <row r="108" spans="1:4" ht="15.75" customHeight="1" x14ac:dyDescent="0.25">
      <c r="A108" s="18" t="s">
        <v>844</v>
      </c>
      <c r="B108" s="13" t="s">
        <v>845</v>
      </c>
      <c r="C108" s="14"/>
      <c r="D108" s="14">
        <f>((D99/30)*C108)/12</f>
        <v>0</v>
      </c>
    </row>
    <row r="109" spans="1:4" ht="15.75" customHeight="1" x14ac:dyDescent="0.25">
      <c r="A109" s="595" t="s">
        <v>752</v>
      </c>
      <c r="B109" s="588"/>
      <c r="C109" s="175"/>
      <c r="D109" s="44">
        <f>SUM(D102:D107)</f>
        <v>212.78696177353697</v>
      </c>
    </row>
    <row r="110" spans="1:4" ht="15.75" customHeight="1" x14ac:dyDescent="0.25">
      <c r="A110" s="18" t="s">
        <v>846</v>
      </c>
      <c r="B110" s="13" t="s">
        <v>847</v>
      </c>
      <c r="C110" s="15">
        <f>C58</f>
        <v>0.39800000000000008</v>
      </c>
      <c r="D110" s="14">
        <f>D109*C110</f>
        <v>84.689210785867729</v>
      </c>
    </row>
    <row r="111" spans="1:4" ht="15.75" customHeight="1" x14ac:dyDescent="0.25">
      <c r="A111" s="596" t="s">
        <v>752</v>
      </c>
      <c r="B111" s="588"/>
      <c r="C111" s="179"/>
      <c r="D111" s="178">
        <f>SUM(D109:D110)</f>
        <v>297.47617255940469</v>
      </c>
    </row>
    <row r="112" spans="1:4" ht="61.5" customHeight="1" x14ac:dyDescent="0.25">
      <c r="A112" s="577" t="s">
        <v>848</v>
      </c>
      <c r="B112" s="578"/>
      <c r="C112" s="3"/>
      <c r="D112" s="41"/>
    </row>
    <row r="113" spans="1:4" ht="8.1" customHeight="1" x14ac:dyDescent="0.25">
      <c r="A113" s="125"/>
      <c r="B113" s="42"/>
      <c r="C113" s="140"/>
      <c r="D113" s="127"/>
    </row>
    <row r="114" spans="1:4" ht="15.75" customHeight="1" x14ac:dyDescent="0.25">
      <c r="A114" s="587" t="s">
        <v>849</v>
      </c>
      <c r="B114" s="588"/>
      <c r="C114" s="151"/>
      <c r="D114" s="152" t="s">
        <v>734</v>
      </c>
    </row>
    <row r="115" spans="1:4" ht="15.75" customHeight="1" x14ac:dyDescent="0.25">
      <c r="A115" s="18" t="s">
        <v>850</v>
      </c>
      <c r="B115" s="13" t="s">
        <v>851</v>
      </c>
      <c r="C115" s="14">
        <v>0</v>
      </c>
      <c r="D115" s="14">
        <f>((D$37+D$82)/C$28)*C115*C$18</f>
        <v>0</v>
      </c>
    </row>
    <row r="116" spans="1:4" ht="15.75" customHeight="1" x14ac:dyDescent="0.25">
      <c r="A116" s="18" t="s">
        <v>852</v>
      </c>
      <c r="B116" s="13" t="s">
        <v>853</v>
      </c>
      <c r="C116" s="15">
        <f>C58</f>
        <v>0.39800000000000008</v>
      </c>
      <c r="D116" s="14">
        <f>D115*C116</f>
        <v>0</v>
      </c>
    </row>
    <row r="117" spans="1:4" ht="15.75" customHeight="1" x14ac:dyDescent="0.25">
      <c r="A117" s="596" t="s">
        <v>752</v>
      </c>
      <c r="B117" s="588"/>
      <c r="C117" s="177"/>
      <c r="D117" s="178">
        <f>SUM(D115:D116)</f>
        <v>0</v>
      </c>
    </row>
    <row r="118" spans="1:4" ht="8.1" customHeight="1" x14ac:dyDescent="0.25">
      <c r="A118" s="577"/>
      <c r="B118" s="578"/>
      <c r="C118" s="3"/>
      <c r="D118" s="41"/>
    </row>
    <row r="119" spans="1:4" ht="8.1" customHeight="1" x14ac:dyDescent="0.25">
      <c r="A119" s="7"/>
      <c r="C119" s="20"/>
      <c r="D119" s="127"/>
    </row>
    <row r="120" spans="1:4" ht="15.75" customHeight="1" x14ac:dyDescent="0.25">
      <c r="A120" s="587" t="s">
        <v>854</v>
      </c>
      <c r="B120" s="588"/>
      <c r="C120" s="151"/>
      <c r="D120" s="152" t="s">
        <v>734</v>
      </c>
    </row>
    <row r="121" spans="1:4" ht="15.75" customHeight="1" x14ac:dyDescent="0.25">
      <c r="A121" s="18" t="s">
        <v>855</v>
      </c>
      <c r="B121" s="13" t="s">
        <v>856</v>
      </c>
      <c r="C121" s="15"/>
      <c r="D121" s="14">
        <f>D111</f>
        <v>297.47617255940469</v>
      </c>
    </row>
    <row r="122" spans="1:4" ht="15.75" customHeight="1" x14ac:dyDescent="0.25">
      <c r="A122" s="18" t="s">
        <v>857</v>
      </c>
      <c r="B122" s="13" t="s">
        <v>858</v>
      </c>
      <c r="C122" s="14"/>
      <c r="D122" s="14">
        <f>D117</f>
        <v>0</v>
      </c>
    </row>
    <row r="123" spans="1:4" ht="15.75" customHeight="1" thickBot="1" x14ac:dyDescent="0.3">
      <c r="A123" s="593" t="s">
        <v>752</v>
      </c>
      <c r="B123" s="594"/>
      <c r="C123" s="172"/>
      <c r="D123" s="173">
        <f>SUM(D121:D122)</f>
        <v>297.47617255940469</v>
      </c>
    </row>
    <row r="124" spans="1:4" ht="8.1" customHeight="1" x14ac:dyDescent="0.25">
      <c r="A124" s="153"/>
      <c r="B124" s="154"/>
      <c r="C124" s="155"/>
      <c r="D124" s="156"/>
    </row>
    <row r="125" spans="1:4" ht="8.1" customHeight="1" thickBot="1" x14ac:dyDescent="0.3">
      <c r="A125" s="125"/>
      <c r="B125" s="42"/>
      <c r="C125" s="140"/>
      <c r="D125" s="127"/>
    </row>
    <row r="126" spans="1:4" ht="18" customHeight="1" x14ac:dyDescent="0.25">
      <c r="A126" s="591" t="s">
        <v>859</v>
      </c>
      <c r="B126" s="592"/>
      <c r="C126" s="12"/>
      <c r="D126" s="150" t="s">
        <v>734</v>
      </c>
    </row>
    <row r="127" spans="1:4" ht="15.75" customHeight="1" x14ac:dyDescent="0.25">
      <c r="A127" s="174" t="s">
        <v>860</v>
      </c>
      <c r="B127" s="175" t="s">
        <v>861</v>
      </c>
      <c r="C127" s="176"/>
      <c r="D127" s="44">
        <f>tbUNIFORMESL[[#Totals],[VL. MENSAL]]</f>
        <v>167.72833333333332</v>
      </c>
    </row>
    <row r="128" spans="1:4" ht="15.75" customHeight="1" x14ac:dyDescent="0.25">
      <c r="A128" s="174" t="s">
        <v>862</v>
      </c>
      <c r="B128" s="175" t="s">
        <v>863</v>
      </c>
      <c r="C128" s="176"/>
      <c r="D128" s="44">
        <v>0</v>
      </c>
    </row>
    <row r="129" spans="1:4" ht="15.75" customHeight="1" x14ac:dyDescent="0.25">
      <c r="A129" s="174" t="s">
        <v>864</v>
      </c>
      <c r="B129" s="175" t="s">
        <v>865</v>
      </c>
      <c r="C129" s="176"/>
      <c r="D129" s="44">
        <v>0</v>
      </c>
    </row>
    <row r="130" spans="1:4" ht="15.75" customHeight="1" x14ac:dyDescent="0.25">
      <c r="A130" s="174" t="s">
        <v>866</v>
      </c>
      <c r="B130" s="175" t="s">
        <v>867</v>
      </c>
      <c r="C130" s="176"/>
      <c r="D130" s="44">
        <v>0</v>
      </c>
    </row>
    <row r="131" spans="1:4" ht="15.75" customHeight="1" thickBot="1" x14ac:dyDescent="0.3">
      <c r="A131" s="593" t="s">
        <v>752</v>
      </c>
      <c r="B131" s="594"/>
      <c r="C131" s="172"/>
      <c r="D131" s="173">
        <f>SUM(D127:D130)</f>
        <v>167.72833333333332</v>
      </c>
    </row>
    <row r="132" spans="1:4" ht="15.95" customHeight="1" thickBot="1" x14ac:dyDescent="0.3">
      <c r="A132" s="4"/>
      <c r="B132" s="1"/>
      <c r="C132" s="22"/>
      <c r="D132" s="6"/>
    </row>
    <row r="133" spans="1:4" ht="18" customHeight="1" x14ac:dyDescent="0.25">
      <c r="A133" s="591" t="s">
        <v>868</v>
      </c>
      <c r="B133" s="592"/>
      <c r="C133" s="12"/>
      <c r="D133" s="150" t="s">
        <v>734</v>
      </c>
    </row>
    <row r="134" spans="1:4" ht="8.1" customHeight="1" x14ac:dyDescent="0.25">
      <c r="A134" s="7"/>
      <c r="C134" s="8"/>
      <c r="D134" s="127"/>
    </row>
    <row r="135" spans="1:4" ht="15.75" customHeight="1" x14ac:dyDescent="0.25">
      <c r="A135" s="587" t="s">
        <v>869</v>
      </c>
      <c r="B135" s="588"/>
      <c r="C135" s="151"/>
      <c r="D135" s="152">
        <f>SUM(D37,D82,D94,D123,D131)</f>
        <v>4164.1826742725207</v>
      </c>
    </row>
    <row r="136" spans="1:4" ht="8.1" customHeight="1" x14ac:dyDescent="0.25">
      <c r="A136" s="7"/>
      <c r="C136" s="8"/>
      <c r="D136" s="127"/>
    </row>
    <row r="137" spans="1:4" ht="15.75" customHeight="1" x14ac:dyDescent="0.25">
      <c r="A137" s="66" t="s">
        <v>870</v>
      </c>
      <c r="B137" s="34" t="s">
        <v>871</v>
      </c>
      <c r="C137" s="67">
        <v>0.05</v>
      </c>
      <c r="D137" s="35">
        <f>D$135*C137</f>
        <v>208.20913371362604</v>
      </c>
    </row>
    <row r="138" spans="1:4" ht="15.75" customHeight="1" x14ac:dyDescent="0.25">
      <c r="A138" s="66" t="s">
        <v>872</v>
      </c>
      <c r="B138" s="34" t="s">
        <v>873</v>
      </c>
      <c r="C138" s="67">
        <v>0.1</v>
      </c>
      <c r="D138" s="35">
        <f>SUM(D135,D137)*C138</f>
        <v>437.23918079861471</v>
      </c>
    </row>
    <row r="139" spans="1:4" ht="8.1" customHeight="1" x14ac:dyDescent="0.25">
      <c r="A139" s="7"/>
      <c r="C139" s="8"/>
      <c r="D139" s="127"/>
    </row>
    <row r="140" spans="1:4" ht="15.75" customHeight="1" x14ac:dyDescent="0.25">
      <c r="A140" s="587" t="s">
        <v>874</v>
      </c>
      <c r="B140" s="588"/>
      <c r="C140" s="151"/>
      <c r="D140" s="152">
        <f>SUM(D135,D137:D138)</f>
        <v>4809.6309887847619</v>
      </c>
    </row>
    <row r="141" spans="1:4" ht="8.1" customHeight="1" x14ac:dyDescent="0.25">
      <c r="A141" s="7"/>
      <c r="C141" s="8"/>
      <c r="D141" s="127"/>
    </row>
    <row r="142" spans="1:4" ht="15.75" customHeight="1" x14ac:dyDescent="0.25">
      <c r="A142" s="18" t="s">
        <v>875</v>
      </c>
      <c r="B142" s="13" t="s">
        <v>876</v>
      </c>
      <c r="C142" s="19">
        <f>'DADOS CCT'!D93</f>
        <v>7.5999999999999998E-2</v>
      </c>
      <c r="D142" s="14">
        <f>(D$140/(1-C$146))*C142</f>
        <v>416.56063264688538</v>
      </c>
    </row>
    <row r="143" spans="1:4" ht="15.75" customHeight="1" x14ac:dyDescent="0.25">
      <c r="A143" s="18" t="s">
        <v>877</v>
      </c>
      <c r="B143" s="13" t="s">
        <v>878</v>
      </c>
      <c r="C143" s="19">
        <f>'DADOS CCT'!D92</f>
        <v>1.6500000000000001E-2</v>
      </c>
      <c r="D143" s="14">
        <f>(D$140/(1-C$146))*C143</f>
        <v>90.437505772021169</v>
      </c>
    </row>
    <row r="144" spans="1:4" ht="15.75" customHeight="1" x14ac:dyDescent="0.25">
      <c r="A144" s="18" t="s">
        <v>879</v>
      </c>
      <c r="B144" s="13" t="s">
        <v>880</v>
      </c>
      <c r="C144" s="15"/>
      <c r="D144" s="14">
        <f>(D$140/(1-C$146))*C144</f>
        <v>0</v>
      </c>
    </row>
    <row r="145" spans="1:4" ht="15.75" customHeight="1" x14ac:dyDescent="0.25">
      <c r="A145" s="18" t="s">
        <v>881</v>
      </c>
      <c r="B145" s="13" t="s">
        <v>882</v>
      </c>
      <c r="C145" s="19">
        <f>'DADOS CCT'!D91</f>
        <v>0.03</v>
      </c>
      <c r="D145" s="14">
        <f>(D$140/(1-C$146))*C145</f>
        <v>164.43182867640212</v>
      </c>
    </row>
    <row r="146" spans="1:4" ht="15.75" customHeight="1" thickBot="1" x14ac:dyDescent="0.3">
      <c r="A146" s="599" t="s">
        <v>752</v>
      </c>
      <c r="B146" s="600"/>
      <c r="C146" s="43">
        <f>SUM(C142:C145)</f>
        <v>0.1225</v>
      </c>
      <c r="D146" s="39">
        <f>SUM(D137:D138,D142:D145)</f>
        <v>1316.8782816075495</v>
      </c>
    </row>
    <row r="147" spans="1:4" ht="15.95" customHeight="1" thickBot="1" x14ac:dyDescent="0.3">
      <c r="A147" s="4"/>
      <c r="B147" s="1"/>
      <c r="C147" s="22"/>
      <c r="D147" s="6"/>
    </row>
    <row r="148" spans="1:4" ht="18" customHeight="1" x14ac:dyDescent="0.25">
      <c r="A148" s="601" t="s">
        <v>883</v>
      </c>
      <c r="B148" s="602"/>
      <c r="C148" s="170"/>
      <c r="D148" s="171" t="s">
        <v>734</v>
      </c>
    </row>
    <row r="149" spans="1:4" ht="15.75" customHeight="1" x14ac:dyDescent="0.25">
      <c r="A149" s="45"/>
      <c r="B149" s="46" t="s">
        <v>884</v>
      </c>
      <c r="C149" s="136"/>
      <c r="D149" s="28">
        <f>D37</f>
        <v>2016.6676363636366</v>
      </c>
    </row>
    <row r="150" spans="1:4" ht="15.75" customHeight="1" x14ac:dyDescent="0.25">
      <c r="A150" s="45"/>
      <c r="B150" s="46" t="s">
        <v>885</v>
      </c>
      <c r="C150" s="136"/>
      <c r="D150" s="28">
        <f>D82</f>
        <v>1460.9543700234185</v>
      </c>
    </row>
    <row r="151" spans="1:4" ht="15.75" customHeight="1" x14ac:dyDescent="0.25">
      <c r="A151" s="45"/>
      <c r="B151" s="46" t="s">
        <v>886</v>
      </c>
      <c r="C151" s="143"/>
      <c r="D151" s="28">
        <f>D94</f>
        <v>221.35616199272727</v>
      </c>
    </row>
    <row r="152" spans="1:4" ht="15.75" customHeight="1" x14ac:dyDescent="0.25">
      <c r="A152" s="45"/>
      <c r="B152" s="46" t="s">
        <v>887</v>
      </c>
      <c r="C152" s="136"/>
      <c r="D152" s="28">
        <f>D123</f>
        <v>297.47617255940469</v>
      </c>
    </row>
    <row r="153" spans="1:4" ht="15.75" customHeight="1" x14ac:dyDescent="0.25">
      <c r="A153" s="45"/>
      <c r="B153" s="46" t="s">
        <v>888</v>
      </c>
      <c r="C153" s="136"/>
      <c r="D153" s="28">
        <f>D131</f>
        <v>167.72833333333332</v>
      </c>
    </row>
    <row r="154" spans="1:4" ht="15.75" customHeight="1" x14ac:dyDescent="0.25">
      <c r="A154" s="585" t="s">
        <v>752</v>
      </c>
      <c r="B154" s="412"/>
      <c r="C154" s="137"/>
      <c r="D154" s="138">
        <f>SUM(D149:D153)</f>
        <v>4164.1826742725207</v>
      </c>
    </row>
    <row r="155" spans="1:4" ht="15.75" customHeight="1" x14ac:dyDescent="0.25">
      <c r="A155" s="45"/>
      <c r="B155" s="46" t="s">
        <v>889</v>
      </c>
      <c r="C155" s="143"/>
      <c r="D155" s="28">
        <f>D146</f>
        <v>1316.8782816075495</v>
      </c>
    </row>
    <row r="156" spans="1:4" ht="15.75" customHeight="1" thickBot="1" x14ac:dyDescent="0.35">
      <c r="A156" s="603" t="s">
        <v>890</v>
      </c>
      <c r="B156" s="604"/>
      <c r="C156" s="168"/>
      <c r="D156" s="169">
        <f>TRUNC(SUM(D154:D155),2)</f>
        <v>5481.06</v>
      </c>
    </row>
    <row r="157" spans="1:4" ht="8.1" customHeight="1" thickBot="1" x14ac:dyDescent="0.3">
      <c r="A157" s="9"/>
      <c r="B157" s="10"/>
      <c r="C157" s="21"/>
      <c r="D157" s="11"/>
    </row>
    <row r="158" spans="1:4" ht="15.75" customHeight="1" thickBot="1" x14ac:dyDescent="0.3">
      <c r="A158" s="605" t="s">
        <v>891</v>
      </c>
      <c r="B158" s="470"/>
      <c r="C158" s="166"/>
      <c r="D158" s="167">
        <v>1</v>
      </c>
    </row>
    <row r="159" spans="1:4" ht="8.1" customHeight="1" thickBot="1" x14ac:dyDescent="0.3">
      <c r="A159" s="9"/>
      <c r="B159" s="10"/>
      <c r="C159" s="21"/>
      <c r="D159" s="11"/>
    </row>
    <row r="160" spans="1:4" ht="15.75" customHeight="1" thickBot="1" x14ac:dyDescent="0.35">
      <c r="A160" s="597" t="s">
        <v>892</v>
      </c>
      <c r="B160" s="598"/>
      <c r="C160" s="164"/>
      <c r="D160" s="165">
        <f>TRUNC(D156*D158,2)</f>
        <v>5481.06</v>
      </c>
    </row>
    <row r="161" spans="1:4" ht="15.95" customHeight="1" thickBot="1" x14ac:dyDescent="0.3"/>
    <row r="162" spans="1:4" ht="15.75" customHeight="1" thickBot="1" x14ac:dyDescent="0.35">
      <c r="A162" s="561" t="s">
        <v>893</v>
      </c>
      <c r="B162" s="562"/>
      <c r="C162" s="162"/>
      <c r="D162" s="163">
        <f>D156/D37</f>
        <v>2.7178796848662672</v>
      </c>
    </row>
    <row r="163" spans="1:4" ht="15.95" customHeight="1" thickBot="1" x14ac:dyDescent="0.3">
      <c r="A163" s="33"/>
      <c r="B163" s="33"/>
      <c r="C163" s="33"/>
    </row>
    <row r="164" spans="1:4" ht="15.75" customHeight="1" x14ac:dyDescent="0.3">
      <c r="A164" s="551" t="s">
        <v>894</v>
      </c>
      <c r="B164" s="551"/>
      <c r="C164" s="160"/>
      <c r="D164" s="161"/>
    </row>
    <row r="165" spans="1:4" ht="15" customHeight="1" thickBot="1" x14ac:dyDescent="0.3">
      <c r="A165" s="157"/>
      <c r="B165" s="157" t="s">
        <v>895</v>
      </c>
      <c r="C165" s="157"/>
      <c r="D165" s="158">
        <f>TRUNC(D156/C$18,2)</f>
        <v>261</v>
      </c>
    </row>
  </sheetData>
  <mergeCells count="65">
    <mergeCell ref="C15:D15"/>
    <mergeCell ref="C3:D3"/>
    <mergeCell ref="C4:D4"/>
    <mergeCell ref="C5:D5"/>
    <mergeCell ref="A7:B7"/>
    <mergeCell ref="C8:D8"/>
    <mergeCell ref="C9:D9"/>
    <mergeCell ref="C10:D10"/>
    <mergeCell ref="C11:D11"/>
    <mergeCell ref="C12:D12"/>
    <mergeCell ref="C13:D13"/>
    <mergeCell ref="C14:D14"/>
    <mergeCell ref="A33:B33"/>
    <mergeCell ref="C16:D16"/>
    <mergeCell ref="C17:D17"/>
    <mergeCell ref="C18:D18"/>
    <mergeCell ref="C19:D19"/>
    <mergeCell ref="C20:D20"/>
    <mergeCell ref="C21:D21"/>
    <mergeCell ref="C22:D22"/>
    <mergeCell ref="C23:D23"/>
    <mergeCell ref="A25:B25"/>
    <mergeCell ref="C25:D25"/>
    <mergeCell ref="A27:B27"/>
    <mergeCell ref="A76:B76"/>
    <mergeCell ref="A37:B37"/>
    <mergeCell ref="A38:B38"/>
    <mergeCell ref="A40:B40"/>
    <mergeCell ref="A42:B42"/>
    <mergeCell ref="A45:B45"/>
    <mergeCell ref="A46:B46"/>
    <mergeCell ref="A48:B48"/>
    <mergeCell ref="A58:B58"/>
    <mergeCell ref="A59:B59"/>
    <mergeCell ref="A61:B61"/>
    <mergeCell ref="A75:B75"/>
    <mergeCell ref="A114:B114"/>
    <mergeCell ref="A78:B78"/>
    <mergeCell ref="A82:B82"/>
    <mergeCell ref="A85:B85"/>
    <mergeCell ref="A94:B94"/>
    <mergeCell ref="A95:B95"/>
    <mergeCell ref="A97:B97"/>
    <mergeCell ref="A99:B99"/>
    <mergeCell ref="A101:B101"/>
    <mergeCell ref="A109:B109"/>
    <mergeCell ref="A111:B111"/>
    <mergeCell ref="A112:B112"/>
    <mergeCell ref="A154:B154"/>
    <mergeCell ref="A117:B117"/>
    <mergeCell ref="A118:B118"/>
    <mergeCell ref="A120:B120"/>
    <mergeCell ref="A123:B123"/>
    <mergeCell ref="A126:B126"/>
    <mergeCell ref="A131:B131"/>
    <mergeCell ref="A133:B133"/>
    <mergeCell ref="A135:B135"/>
    <mergeCell ref="A140:B140"/>
    <mergeCell ref="A146:B146"/>
    <mergeCell ref="A148:B148"/>
    <mergeCell ref="A156:B156"/>
    <mergeCell ref="A158:B158"/>
    <mergeCell ref="A160:B160"/>
    <mergeCell ref="A162:B162"/>
    <mergeCell ref="A164:B164"/>
  </mergeCells>
  <pageMargins left="0.70866141732283472" right="0.70866141732283472" top="0.74803149606299213" bottom="0.74803149606299213" header="0" footer="0"/>
  <pageSetup paperSize="9" scale="80" fitToHeight="0" orientation="portrait" r:id="rId1"/>
  <rowBreaks count="4" manualBreakCount="4">
    <brk id="38" max="3" man="1"/>
    <brk id="83" max="3" man="1"/>
    <brk id="90" max="16383" man="1"/>
    <brk id="124" max="3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F9CA9-E990-4FAA-A0B8-FD80303CDEFD}">
  <sheetPr>
    <tabColor theme="7" tint="-0.249977111117893"/>
    <outlinePr summaryBelow="0"/>
    <pageSetUpPr fitToPage="1"/>
  </sheetPr>
  <dimension ref="A1:D165"/>
  <sheetViews>
    <sheetView workbookViewId="0"/>
  </sheetViews>
  <sheetFormatPr defaultColWidth="14.42578125" defaultRowHeight="15" customHeight="1" x14ac:dyDescent="0.25"/>
  <cols>
    <col min="1" max="1" width="6.7109375" customWidth="1"/>
    <col min="2" max="2" width="64.7109375" customWidth="1"/>
    <col min="3" max="3" width="18.7109375" customWidth="1"/>
    <col min="4" max="4" width="18.7109375" style="33" customWidth="1"/>
    <col min="5" max="16384" width="14.42578125" style="159"/>
  </cols>
  <sheetData>
    <row r="1" spans="1:4" ht="40.5" customHeight="1" x14ac:dyDescent="0.25">
      <c r="A1" s="38"/>
      <c r="B1" s="313" t="s">
        <v>692</v>
      </c>
      <c r="C1" s="37"/>
      <c r="D1" s="37"/>
    </row>
    <row r="2" spans="1:4" ht="15.95" customHeight="1" thickBot="1" x14ac:dyDescent="0.3">
      <c r="A2" s="125"/>
      <c r="B2" s="42"/>
      <c r="C2" s="126"/>
      <c r="D2" s="127"/>
    </row>
    <row r="3" spans="1:4" ht="15" customHeight="1" x14ac:dyDescent="0.25">
      <c r="A3" s="192"/>
      <c r="B3" s="314" t="s">
        <v>693</v>
      </c>
      <c r="C3" s="552"/>
      <c r="D3" s="552"/>
    </row>
    <row r="4" spans="1:4" ht="15" customHeight="1" x14ac:dyDescent="0.25">
      <c r="A4" s="193"/>
      <c r="B4" s="274" t="s">
        <v>694</v>
      </c>
      <c r="C4" s="553"/>
      <c r="D4" s="553"/>
    </row>
    <row r="5" spans="1:4" ht="15.75" customHeight="1" thickBot="1" x14ac:dyDescent="0.3">
      <c r="A5" s="194"/>
      <c r="B5" s="195" t="s">
        <v>695</v>
      </c>
      <c r="C5" s="554"/>
      <c r="D5" s="554"/>
    </row>
    <row r="6" spans="1:4" ht="15.95" customHeight="1" thickBot="1" x14ac:dyDescent="0.3">
      <c r="A6" s="125"/>
      <c r="B6" s="42"/>
      <c r="C6" s="126"/>
      <c r="D6" s="127"/>
    </row>
    <row r="7" spans="1:4" ht="15" customHeight="1" x14ac:dyDescent="0.25">
      <c r="A7" s="563" t="s">
        <v>696</v>
      </c>
      <c r="B7" s="564"/>
      <c r="C7" s="128"/>
      <c r="D7" s="129"/>
    </row>
    <row r="8" spans="1:4" ht="15" customHeight="1" x14ac:dyDescent="0.25">
      <c r="A8" s="45" t="s">
        <v>697</v>
      </c>
      <c r="B8" s="263" t="s">
        <v>698</v>
      </c>
      <c r="C8" s="555"/>
      <c r="D8" s="555"/>
    </row>
    <row r="9" spans="1:4" ht="15" customHeight="1" x14ac:dyDescent="0.25">
      <c r="A9" s="45" t="s">
        <v>699</v>
      </c>
      <c r="B9" s="263" t="s">
        <v>700</v>
      </c>
      <c r="C9" s="555" t="s">
        <v>37</v>
      </c>
      <c r="D9" s="555"/>
    </row>
    <row r="10" spans="1:4" ht="15" customHeight="1" x14ac:dyDescent="0.25">
      <c r="A10" s="45" t="s">
        <v>701</v>
      </c>
      <c r="B10" s="263" t="s">
        <v>702</v>
      </c>
      <c r="C10" s="555" t="str">
        <f>'DADOS CCT'!C79&amp;" - "&amp;'DADOS CCT'!D80</f>
        <v>SEEAC/RS - RS004917/2023</v>
      </c>
      <c r="D10" s="555"/>
    </row>
    <row r="11" spans="1:4" ht="15" customHeight="1" x14ac:dyDescent="0.25">
      <c r="A11" s="45" t="s">
        <v>703</v>
      </c>
      <c r="B11" s="263" t="s">
        <v>704</v>
      </c>
      <c r="C11" s="556">
        <v>12</v>
      </c>
      <c r="D11" s="556"/>
    </row>
    <row r="12" spans="1:4" ht="15" customHeight="1" x14ac:dyDescent="0.25">
      <c r="A12" s="45" t="s">
        <v>705</v>
      </c>
      <c r="B12" s="263" t="s">
        <v>706</v>
      </c>
      <c r="C12" s="557">
        <f>'DADOS CCT'!D81</f>
        <v>45292</v>
      </c>
      <c r="D12" s="557"/>
    </row>
    <row r="13" spans="1:4" ht="29.25" customHeight="1" x14ac:dyDescent="0.25">
      <c r="A13" s="45" t="s">
        <v>707</v>
      </c>
      <c r="B13" s="315" t="s">
        <v>708</v>
      </c>
      <c r="C13" s="558" t="s">
        <v>709</v>
      </c>
      <c r="D13" s="558"/>
    </row>
    <row r="14" spans="1:4" x14ac:dyDescent="0.25">
      <c r="A14" s="130" t="s">
        <v>710</v>
      </c>
      <c r="B14" s="131" t="s">
        <v>711</v>
      </c>
      <c r="C14" s="559" t="s">
        <v>712</v>
      </c>
      <c r="D14" s="559"/>
    </row>
    <row r="15" spans="1:4" x14ac:dyDescent="0.25">
      <c r="A15" s="130" t="s">
        <v>713</v>
      </c>
      <c r="B15" s="131" t="s">
        <v>714</v>
      </c>
      <c r="C15" s="559" t="s">
        <v>907</v>
      </c>
      <c r="D15" s="559"/>
    </row>
    <row r="16" spans="1:4" x14ac:dyDescent="0.25">
      <c r="A16" s="130" t="s">
        <v>716</v>
      </c>
      <c r="B16" s="131" t="s">
        <v>717</v>
      </c>
      <c r="C16" s="559" t="str">
        <f ca="1">RIGHT(CELL("nome.arquivo",A1),LEN(CELL("nome.arquivo",A1))-SEARCH("]",CELL("nome.arquivo",A1)))</f>
        <v>5143-20 AUX.LB 5x2 DIURNO SJP</v>
      </c>
      <c r="D16" s="559"/>
    </row>
    <row r="17" spans="1:4" x14ac:dyDescent="0.25">
      <c r="A17" s="130" t="s">
        <v>718</v>
      </c>
      <c r="B17" s="131" t="s">
        <v>719</v>
      </c>
      <c r="C17" s="560" t="s">
        <v>1197</v>
      </c>
      <c r="D17" s="560"/>
    </row>
    <row r="18" spans="1:4" x14ac:dyDescent="0.25">
      <c r="A18" s="130" t="s">
        <v>721</v>
      </c>
      <c r="B18" s="131" t="s">
        <v>722</v>
      </c>
      <c r="C18" s="560">
        <v>21</v>
      </c>
      <c r="D18" s="560"/>
    </row>
    <row r="19" spans="1:4" ht="15.75" customHeight="1" x14ac:dyDescent="0.25">
      <c r="A19" s="130" t="s">
        <v>723</v>
      </c>
      <c r="B19" s="131" t="s">
        <v>724</v>
      </c>
      <c r="C19" s="560">
        <f>'DADOS CCT'!D82</f>
        <v>1540.51</v>
      </c>
      <c r="D19" s="560"/>
    </row>
    <row r="20" spans="1:4" ht="15.75" customHeight="1" x14ac:dyDescent="0.25">
      <c r="A20" s="130" t="s">
        <v>725</v>
      </c>
      <c r="B20" s="132" t="s">
        <v>726</v>
      </c>
      <c r="C20" s="573">
        <f>C19/220</f>
        <v>7.0023181818181817</v>
      </c>
      <c r="D20" s="573"/>
    </row>
    <row r="21" spans="1:4" ht="15.75" customHeight="1" x14ac:dyDescent="0.25">
      <c r="A21" s="130" t="s">
        <v>727</v>
      </c>
      <c r="B21" s="132" t="s">
        <v>728</v>
      </c>
      <c r="C21" s="573">
        <f>C20*1.5</f>
        <v>10.503477272727272</v>
      </c>
      <c r="D21" s="573"/>
    </row>
    <row r="22" spans="1:4" ht="15.75" customHeight="1" x14ac:dyDescent="0.25">
      <c r="A22" s="130" t="s">
        <v>729</v>
      </c>
      <c r="B22" s="132" t="s">
        <v>730</v>
      </c>
      <c r="C22" s="573">
        <f>C20*2</f>
        <v>14.004636363636363</v>
      </c>
      <c r="D22" s="573"/>
    </row>
    <row r="23" spans="1:4" ht="15.75" customHeight="1" thickBot="1" x14ac:dyDescent="0.3">
      <c r="A23" s="133" t="s">
        <v>731</v>
      </c>
      <c r="B23" s="134" t="s">
        <v>732</v>
      </c>
      <c r="C23" s="574">
        <f>C20*0.2</f>
        <v>1.4004636363636365</v>
      </c>
      <c r="D23" s="574"/>
    </row>
    <row r="24" spans="1:4" ht="15.95" customHeight="1" thickBot="1" x14ac:dyDescent="0.3">
      <c r="A24" s="125"/>
      <c r="B24" s="42"/>
      <c r="C24" s="126"/>
      <c r="D24" s="127"/>
    </row>
    <row r="25" spans="1:4" ht="15.75" thickBot="1" x14ac:dyDescent="0.3">
      <c r="A25" s="565"/>
      <c r="B25" s="566"/>
      <c r="C25" s="567" t="str">
        <f>'DADOS CCT'!D3</f>
        <v>00 - VALOR ESTIMADO</v>
      </c>
      <c r="D25" s="568"/>
    </row>
    <row r="26" spans="1:4" ht="6" customHeight="1" thickBot="1" x14ac:dyDescent="0.3">
      <c r="A26" s="4"/>
      <c r="B26" s="1"/>
      <c r="C26" s="5"/>
      <c r="D26" s="6"/>
    </row>
    <row r="27" spans="1:4" ht="18" customHeight="1" x14ac:dyDescent="0.25">
      <c r="A27" s="569" t="s">
        <v>733</v>
      </c>
      <c r="B27" s="570"/>
      <c r="C27" s="190"/>
      <c r="D27" s="191" t="s">
        <v>734</v>
      </c>
    </row>
    <row r="28" spans="1:4" ht="15.75" customHeight="1" x14ac:dyDescent="0.25">
      <c r="A28" s="45" t="s">
        <v>735</v>
      </c>
      <c r="B28" s="46" t="s">
        <v>736</v>
      </c>
      <c r="C28" s="135">
        <v>200</v>
      </c>
      <c r="D28" s="28">
        <f>C28*C19/220</f>
        <v>1400.4636363636364</v>
      </c>
    </row>
    <row r="29" spans="1:4" ht="15.75" customHeight="1" x14ac:dyDescent="0.25">
      <c r="A29" s="45" t="s">
        <v>737</v>
      </c>
      <c r="B29" s="46" t="s">
        <v>738</v>
      </c>
      <c r="C29" s="136"/>
      <c r="D29" s="28">
        <f>D$28*C29</f>
        <v>0</v>
      </c>
    </row>
    <row r="30" spans="1:4" ht="15.75" customHeight="1" x14ac:dyDescent="0.25">
      <c r="A30" s="45" t="s">
        <v>739</v>
      </c>
      <c r="B30" s="46" t="s">
        <v>740</v>
      </c>
      <c r="C30" s="136">
        <v>0.4</v>
      </c>
      <c r="D30" s="208">
        <f>C30*C19</f>
        <v>616.20400000000006</v>
      </c>
    </row>
    <row r="31" spans="1:4" ht="15.75" customHeight="1" x14ac:dyDescent="0.25">
      <c r="A31" s="45" t="s">
        <v>741</v>
      </c>
      <c r="B31" s="46" t="s">
        <v>742</v>
      </c>
      <c r="C31" s="28"/>
      <c r="D31" s="28">
        <f>(D28/C28)*0.2*C31*(60/52.5)</f>
        <v>0</v>
      </c>
    </row>
    <row r="32" spans="1:4" ht="15.75" customHeight="1" x14ac:dyDescent="0.25">
      <c r="A32" s="45" t="s">
        <v>743</v>
      </c>
      <c r="B32" s="46" t="s">
        <v>744</v>
      </c>
      <c r="C32" s="28"/>
      <c r="D32" s="28">
        <f>(D28/C28)*1.5*C32</f>
        <v>0</v>
      </c>
    </row>
    <row r="33" spans="1:4" ht="15.75" customHeight="1" x14ac:dyDescent="0.25">
      <c r="A33" s="571" t="s">
        <v>745</v>
      </c>
      <c r="B33" s="572"/>
      <c r="C33" s="184"/>
      <c r="D33" s="185">
        <f>SUM(D28:D32)</f>
        <v>2016.6676363636366</v>
      </c>
    </row>
    <row r="34" spans="1:4" ht="15.75" customHeight="1" x14ac:dyDescent="0.25">
      <c r="A34" s="45" t="s">
        <v>746</v>
      </c>
      <c r="B34" s="46" t="s">
        <v>747</v>
      </c>
      <c r="C34" s="28"/>
      <c r="D34" s="28">
        <f>15*C34*(D28/C28)*1.5</f>
        <v>0</v>
      </c>
    </row>
    <row r="35" spans="1:4" ht="15.75" customHeight="1" x14ac:dyDescent="0.25">
      <c r="A35" s="45" t="s">
        <v>748</v>
      </c>
      <c r="B35" s="46" t="s">
        <v>749</v>
      </c>
      <c r="C35" s="139">
        <f>'DADOS CCT'!D84</f>
        <v>0</v>
      </c>
      <c r="D35" s="28">
        <f>D28*C35</f>
        <v>0</v>
      </c>
    </row>
    <row r="36" spans="1:4" ht="15.75" customHeight="1" x14ac:dyDescent="0.25">
      <c r="A36" s="45" t="s">
        <v>750</v>
      </c>
      <c r="B36" s="46" t="s">
        <v>751</v>
      </c>
      <c r="C36" s="136"/>
      <c r="D36" s="28">
        <f>D$28*C36</f>
        <v>0</v>
      </c>
    </row>
    <row r="37" spans="1:4" ht="15.75" customHeight="1" thickBot="1" x14ac:dyDescent="0.3">
      <c r="A37" s="575" t="s">
        <v>752</v>
      </c>
      <c r="B37" s="576"/>
      <c r="C37" s="188"/>
      <c r="D37" s="189">
        <f>SUM(D33:D36)</f>
        <v>2016.6676363636366</v>
      </c>
    </row>
    <row r="38" spans="1:4" ht="24" customHeight="1" x14ac:dyDescent="0.25">
      <c r="A38" s="577" t="s">
        <v>1233</v>
      </c>
      <c r="B38" s="578"/>
      <c r="C38" s="8"/>
      <c r="D38" s="127"/>
    </row>
    <row r="39" spans="1:4" ht="8.1" customHeight="1" thickBot="1" x14ac:dyDescent="0.3">
      <c r="A39" s="7"/>
      <c r="B39" s="16"/>
      <c r="C39" s="8"/>
      <c r="D39" s="127"/>
    </row>
    <row r="40" spans="1:4" ht="18" customHeight="1" x14ac:dyDescent="0.25">
      <c r="A40" s="579" t="s">
        <v>753</v>
      </c>
      <c r="B40" s="580"/>
      <c r="C40" s="142"/>
      <c r="D40" s="187"/>
    </row>
    <row r="41" spans="1:4" ht="6" customHeight="1" x14ac:dyDescent="0.25">
      <c r="A41" s="125"/>
      <c r="B41" s="42"/>
      <c r="C41" s="126"/>
      <c r="D41" s="127"/>
    </row>
    <row r="42" spans="1:4" ht="15.75" customHeight="1" x14ac:dyDescent="0.25">
      <c r="A42" s="581" t="s">
        <v>754</v>
      </c>
      <c r="B42" s="572"/>
      <c r="C42" s="182"/>
      <c r="D42" s="183" t="s">
        <v>734</v>
      </c>
    </row>
    <row r="43" spans="1:4" ht="15" customHeight="1" x14ac:dyDescent="0.25">
      <c r="A43" s="45" t="s">
        <v>755</v>
      </c>
      <c r="B43" s="46" t="s">
        <v>756</v>
      </c>
      <c r="C43" s="136">
        <v>8.3299999999999999E-2</v>
      </c>
      <c r="D43" s="28">
        <f>D$33*C43</f>
        <v>167.98841410909091</v>
      </c>
    </row>
    <row r="44" spans="1:4" ht="15" customHeight="1" x14ac:dyDescent="0.25">
      <c r="A44" s="45" t="s">
        <v>757</v>
      </c>
      <c r="B44" s="46" t="s">
        <v>758</v>
      </c>
      <c r="C44" s="143">
        <v>3.0249999999999999E-2</v>
      </c>
      <c r="D44" s="28">
        <f>D$33*C44</f>
        <v>61.004196000000007</v>
      </c>
    </row>
    <row r="45" spans="1:4" ht="15.75" customHeight="1" x14ac:dyDescent="0.25">
      <c r="A45" s="582" t="s">
        <v>752</v>
      </c>
      <c r="B45" s="572"/>
      <c r="C45" s="186"/>
      <c r="D45" s="185">
        <f>SUM(D43:D44)</f>
        <v>228.99261010909092</v>
      </c>
    </row>
    <row r="46" spans="1:4" ht="37.5" customHeight="1" x14ac:dyDescent="0.25">
      <c r="A46" s="583" t="s">
        <v>759</v>
      </c>
      <c r="B46" s="584"/>
      <c r="C46" s="141"/>
      <c r="D46" s="41"/>
    </row>
    <row r="47" spans="1:4" ht="8.1" customHeight="1" x14ac:dyDescent="0.25">
      <c r="A47" s="125"/>
      <c r="B47" s="33"/>
      <c r="C47" s="126"/>
      <c r="D47" s="127"/>
    </row>
    <row r="48" spans="1:4" ht="15.75" customHeight="1" x14ac:dyDescent="0.25">
      <c r="A48" s="581" t="s">
        <v>760</v>
      </c>
      <c r="B48" s="572"/>
      <c r="C48" s="182"/>
      <c r="D48" s="183" t="s">
        <v>734</v>
      </c>
    </row>
    <row r="49" spans="1:4" ht="15" customHeight="1" x14ac:dyDescent="0.25">
      <c r="A49" s="45" t="s">
        <v>761</v>
      </c>
      <c r="B49" s="46" t="s">
        <v>762</v>
      </c>
      <c r="C49" s="136">
        <v>0.2</v>
      </c>
      <c r="D49" s="28">
        <f t="shared" ref="D49:D57" si="0">(D$33+D$45)*C49</f>
        <v>449.13204929454554</v>
      </c>
    </row>
    <row r="50" spans="1:4" ht="15" customHeight="1" x14ac:dyDescent="0.25">
      <c r="A50" s="45" t="s">
        <v>763</v>
      </c>
      <c r="B50" s="46" t="s">
        <v>764</v>
      </c>
      <c r="C50" s="136">
        <v>2.5000000000000001E-2</v>
      </c>
      <c r="D50" s="28">
        <f t="shared" si="0"/>
        <v>56.141506161818192</v>
      </c>
    </row>
    <row r="51" spans="1:4" ht="15" customHeight="1" x14ac:dyDescent="0.25">
      <c r="A51" s="45" t="s">
        <v>765</v>
      </c>
      <c r="B51" s="46" t="s">
        <v>766</v>
      </c>
      <c r="C51" s="144">
        <f>'DADOS CCT'!D$94*'DADOS CCT'!D$95</f>
        <v>0.06</v>
      </c>
      <c r="D51" s="28">
        <f t="shared" si="0"/>
        <v>134.73961478836364</v>
      </c>
    </row>
    <row r="52" spans="1:4" ht="15" customHeight="1" x14ac:dyDescent="0.25">
      <c r="A52" s="45" t="s">
        <v>767</v>
      </c>
      <c r="B52" s="46" t="s">
        <v>768</v>
      </c>
      <c r="C52" s="136">
        <v>1.4999999999999999E-2</v>
      </c>
      <c r="D52" s="28">
        <f t="shared" si="0"/>
        <v>33.68490369709091</v>
      </c>
    </row>
    <row r="53" spans="1:4" ht="15" customHeight="1" x14ac:dyDescent="0.25">
      <c r="A53" s="45" t="s">
        <v>769</v>
      </c>
      <c r="B53" s="46" t="s">
        <v>770</v>
      </c>
      <c r="C53" s="136">
        <v>0.01</v>
      </c>
      <c r="D53" s="28">
        <f t="shared" si="0"/>
        <v>22.456602464727276</v>
      </c>
    </row>
    <row r="54" spans="1:4" ht="15" customHeight="1" x14ac:dyDescent="0.25">
      <c r="A54" s="45" t="s">
        <v>771</v>
      </c>
      <c r="B54" s="46" t="s">
        <v>772</v>
      </c>
      <c r="C54" s="136">
        <v>6.0000000000000001E-3</v>
      </c>
      <c r="D54" s="28">
        <f t="shared" si="0"/>
        <v>13.473961478836365</v>
      </c>
    </row>
    <row r="55" spans="1:4" ht="15" customHeight="1" x14ac:dyDescent="0.25">
      <c r="A55" s="45" t="s">
        <v>773</v>
      </c>
      <c r="B55" s="46" t="s">
        <v>774</v>
      </c>
      <c r="C55" s="136">
        <v>2E-3</v>
      </c>
      <c r="D55" s="28">
        <f t="shared" si="0"/>
        <v>4.4913204929454551</v>
      </c>
    </row>
    <row r="56" spans="1:4" ht="15" customHeight="1" x14ac:dyDescent="0.25">
      <c r="A56" s="45" t="s">
        <v>775</v>
      </c>
      <c r="B56" s="46" t="s">
        <v>776</v>
      </c>
      <c r="C56" s="136">
        <v>0.08</v>
      </c>
      <c r="D56" s="28">
        <f t="shared" si="0"/>
        <v>179.6528197178182</v>
      </c>
    </row>
    <row r="57" spans="1:4" ht="15" customHeight="1" x14ac:dyDescent="0.25">
      <c r="A57" s="45" t="s">
        <v>777</v>
      </c>
      <c r="B57" s="46" t="s">
        <v>778</v>
      </c>
      <c r="C57" s="136"/>
      <c r="D57" s="28">
        <f t="shared" si="0"/>
        <v>0</v>
      </c>
    </row>
    <row r="58" spans="1:4" ht="15.75" customHeight="1" x14ac:dyDescent="0.25">
      <c r="A58" s="585" t="s">
        <v>752</v>
      </c>
      <c r="B58" s="412"/>
      <c r="C58" s="137">
        <f>SUM(C49:C50,C51:C57)</f>
        <v>0.39800000000000008</v>
      </c>
      <c r="D58" s="138">
        <f>SUM(D49:D57)</f>
        <v>893.77277809614566</v>
      </c>
    </row>
    <row r="59" spans="1:4" ht="20.25" customHeight="1" x14ac:dyDescent="0.25">
      <c r="A59" s="583" t="s">
        <v>779</v>
      </c>
      <c r="B59" s="586"/>
      <c r="C59" s="141"/>
      <c r="D59" s="41"/>
    </row>
    <row r="60" spans="1:4" ht="8.1" customHeight="1" x14ac:dyDescent="0.25">
      <c r="A60" s="125"/>
      <c r="B60" s="33"/>
      <c r="C60" s="140"/>
      <c r="D60" s="127"/>
    </row>
    <row r="61" spans="1:4" ht="15.75" customHeight="1" x14ac:dyDescent="0.25">
      <c r="A61" s="581" t="s">
        <v>780</v>
      </c>
      <c r="B61" s="572"/>
      <c r="C61" s="182"/>
      <c r="D61" s="183" t="s">
        <v>734</v>
      </c>
    </row>
    <row r="62" spans="1:4" ht="15.75" customHeight="1" x14ac:dyDescent="0.25">
      <c r="A62" s="45" t="s">
        <v>781</v>
      </c>
      <c r="B62" s="46" t="s">
        <v>782</v>
      </c>
      <c r="C62" s="145"/>
      <c r="D62" s="138">
        <f>((C63*C64*C65)-D66)*C67</f>
        <v>-84.027818181818176</v>
      </c>
    </row>
    <row r="63" spans="1:4" ht="15.75" customHeight="1" x14ac:dyDescent="0.25">
      <c r="A63" s="45" t="s">
        <v>783</v>
      </c>
      <c r="B63" s="46" t="s">
        <v>784</v>
      </c>
      <c r="C63" s="146">
        <f>'DADOS CCT'!D85</f>
        <v>0</v>
      </c>
      <c r="D63" s="28">
        <v>0</v>
      </c>
    </row>
    <row r="64" spans="1:4" ht="15.75" customHeight="1" x14ac:dyDescent="0.25">
      <c r="A64" s="45" t="s">
        <v>785</v>
      </c>
      <c r="B64" s="46" t="s">
        <v>786</v>
      </c>
      <c r="C64" s="28">
        <v>2</v>
      </c>
      <c r="D64" s="28">
        <v>0</v>
      </c>
    </row>
    <row r="65" spans="1:4" ht="15.75" customHeight="1" x14ac:dyDescent="0.25">
      <c r="A65" s="45" t="s">
        <v>787</v>
      </c>
      <c r="B65" s="46" t="s">
        <v>788</v>
      </c>
      <c r="C65" s="147">
        <f>C$18</f>
        <v>21</v>
      </c>
      <c r="D65" s="28">
        <v>0</v>
      </c>
    </row>
    <row r="66" spans="1:4" ht="15.75" customHeight="1" x14ac:dyDescent="0.25">
      <c r="A66" s="45" t="s">
        <v>789</v>
      </c>
      <c r="B66" s="46" t="s">
        <v>790</v>
      </c>
      <c r="C66" s="136">
        <v>0.06</v>
      </c>
      <c r="D66" s="28">
        <f>C66*D$28</f>
        <v>84.027818181818176</v>
      </c>
    </row>
    <row r="67" spans="1:4" ht="15.75" customHeight="1" x14ac:dyDescent="0.25">
      <c r="A67" s="45" t="s">
        <v>791</v>
      </c>
      <c r="B67" s="46" t="s">
        <v>792</v>
      </c>
      <c r="C67" s="144">
        <f>'DADOS CCT'!D86</f>
        <v>1</v>
      </c>
      <c r="D67" s="28">
        <v>0</v>
      </c>
    </row>
    <row r="68" spans="1:4" ht="15.75" customHeight="1" x14ac:dyDescent="0.25">
      <c r="A68" s="45" t="s">
        <v>793</v>
      </c>
      <c r="B68" s="46" t="s">
        <v>794</v>
      </c>
      <c r="C68" s="136"/>
      <c r="D68" s="138">
        <f>(C69*C70)-D71</f>
        <v>402.79679999999996</v>
      </c>
    </row>
    <row r="69" spans="1:4" ht="15.75" customHeight="1" x14ac:dyDescent="0.25">
      <c r="A69" s="45" t="s">
        <v>795</v>
      </c>
      <c r="B69" s="46" t="s">
        <v>796</v>
      </c>
      <c r="C69" s="146">
        <f>'DADOS CCT'!D87</f>
        <v>23.68</v>
      </c>
      <c r="D69" s="28">
        <v>0</v>
      </c>
    </row>
    <row r="70" spans="1:4" ht="15.75" customHeight="1" x14ac:dyDescent="0.25">
      <c r="A70" s="45" t="s">
        <v>797</v>
      </c>
      <c r="B70" s="46" t="s">
        <v>798</v>
      </c>
      <c r="C70" s="147">
        <f>C$18</f>
        <v>21</v>
      </c>
      <c r="D70" s="28">
        <v>0</v>
      </c>
    </row>
    <row r="71" spans="1:4" ht="15.75" customHeight="1" x14ac:dyDescent="0.25">
      <c r="A71" s="45" t="s">
        <v>799</v>
      </c>
      <c r="B71" s="46" t="s">
        <v>800</v>
      </c>
      <c r="C71" s="144">
        <f>'DADOS CCT'!D89</f>
        <v>0.19</v>
      </c>
      <c r="D71" s="28">
        <f>(C69*C70)*C71</f>
        <v>94.483199999999997</v>
      </c>
    </row>
    <row r="72" spans="1:4" ht="15.75" customHeight="1" x14ac:dyDescent="0.25">
      <c r="A72" s="45" t="s">
        <v>801</v>
      </c>
      <c r="B72" s="46" t="s">
        <v>802</v>
      </c>
      <c r="C72" s="136"/>
      <c r="D72" s="208">
        <f>'DADOS CCT'!D$90</f>
        <v>19.420000000000002</v>
      </c>
    </row>
    <row r="73" spans="1:4" ht="15.75" customHeight="1" x14ac:dyDescent="0.25">
      <c r="A73" s="45" t="s">
        <v>803</v>
      </c>
      <c r="B73" s="46" t="s">
        <v>804</v>
      </c>
      <c r="C73" s="136"/>
      <c r="D73" s="28">
        <v>0</v>
      </c>
    </row>
    <row r="74" spans="1:4" ht="15.75" customHeight="1" x14ac:dyDescent="0.25">
      <c r="A74" s="45" t="s">
        <v>805</v>
      </c>
      <c r="B74" s="46" t="s">
        <v>778</v>
      </c>
      <c r="C74" s="136"/>
      <c r="D74" s="28">
        <v>0</v>
      </c>
    </row>
    <row r="75" spans="1:4" ht="15.75" customHeight="1" x14ac:dyDescent="0.25">
      <c r="A75" s="582" t="s">
        <v>752</v>
      </c>
      <c r="B75" s="572"/>
      <c r="C75" s="184"/>
      <c r="D75" s="185">
        <f>SUM(D62,D68,D72:D74)</f>
        <v>338.18898181818179</v>
      </c>
    </row>
    <row r="76" spans="1:4" ht="38.25" customHeight="1" x14ac:dyDescent="0.25">
      <c r="A76" s="583" t="s">
        <v>1102</v>
      </c>
      <c r="B76" s="586"/>
      <c r="C76" s="40"/>
      <c r="D76" s="41"/>
    </row>
    <row r="77" spans="1:4" ht="8.1" customHeight="1" x14ac:dyDescent="0.25">
      <c r="A77" s="125"/>
      <c r="B77" s="33"/>
      <c r="C77" s="140"/>
      <c r="D77" s="127"/>
    </row>
    <row r="78" spans="1:4" ht="15.75" customHeight="1" x14ac:dyDescent="0.25">
      <c r="A78" s="581" t="s">
        <v>806</v>
      </c>
      <c r="B78" s="572"/>
      <c r="C78" s="182"/>
      <c r="D78" s="183" t="s">
        <v>734</v>
      </c>
    </row>
    <row r="79" spans="1:4" ht="15.75" customHeight="1" x14ac:dyDescent="0.25">
      <c r="A79" s="45" t="s">
        <v>807</v>
      </c>
      <c r="B79" s="46" t="s">
        <v>808</v>
      </c>
      <c r="C79" s="136"/>
      <c r="D79" s="28">
        <f>D45</f>
        <v>228.99261010909092</v>
      </c>
    </row>
    <row r="80" spans="1:4" ht="15.75" customHeight="1" x14ac:dyDescent="0.25">
      <c r="A80" s="45" t="s">
        <v>809</v>
      </c>
      <c r="B80" s="46" t="s">
        <v>810</v>
      </c>
      <c r="C80" s="28"/>
      <c r="D80" s="28">
        <f>D58</f>
        <v>893.77277809614566</v>
      </c>
    </row>
    <row r="81" spans="1:4" ht="15.75" customHeight="1" x14ac:dyDescent="0.25">
      <c r="A81" s="45" t="s">
        <v>811</v>
      </c>
      <c r="B81" s="46" t="s">
        <v>812</v>
      </c>
      <c r="C81" s="28"/>
      <c r="D81" s="28">
        <f>D75</f>
        <v>338.18898181818179</v>
      </c>
    </row>
    <row r="82" spans="1:4" ht="15.75" customHeight="1" thickBot="1" x14ac:dyDescent="0.3">
      <c r="A82" s="589" t="s">
        <v>752</v>
      </c>
      <c r="B82" s="590"/>
      <c r="C82" s="180"/>
      <c r="D82" s="181">
        <f>SUM(D79:D81)</f>
        <v>1460.9543700234185</v>
      </c>
    </row>
    <row r="83" spans="1:4" ht="8.1" customHeight="1" x14ac:dyDescent="0.25">
      <c r="A83" s="148"/>
      <c r="B83" s="149"/>
      <c r="C83" s="40"/>
      <c r="D83" s="41"/>
    </row>
    <row r="84" spans="1:4" ht="8.1" customHeight="1" thickBot="1" x14ac:dyDescent="0.3">
      <c r="A84" s="4"/>
      <c r="B84" s="1"/>
      <c r="C84" s="22"/>
      <c r="D84" s="6"/>
    </row>
    <row r="85" spans="1:4" ht="18" customHeight="1" x14ac:dyDescent="0.25">
      <c r="A85" s="591" t="s">
        <v>813</v>
      </c>
      <c r="B85" s="592"/>
      <c r="C85" s="12"/>
      <c r="D85" s="150" t="s">
        <v>734</v>
      </c>
    </row>
    <row r="86" spans="1:4" ht="15.75" customHeight="1" x14ac:dyDescent="0.25">
      <c r="A86" s="209" t="s">
        <v>814</v>
      </c>
      <c r="B86" s="210" t="s">
        <v>815</v>
      </c>
      <c r="C86" s="211">
        <v>0.05</v>
      </c>
      <c r="D86" s="212">
        <f>(D$33/$C$11)*C86*C89</f>
        <v>8.4027818181818201</v>
      </c>
    </row>
    <row r="87" spans="1:4" ht="15.75" customHeight="1" x14ac:dyDescent="0.25">
      <c r="A87" s="209" t="s">
        <v>816</v>
      </c>
      <c r="B87" s="210" t="s">
        <v>817</v>
      </c>
      <c r="C87" s="211">
        <f>C56</f>
        <v>0.08</v>
      </c>
      <c r="D87" s="212">
        <f>D86*C87</f>
        <v>0.67222254545454563</v>
      </c>
    </row>
    <row r="88" spans="1:4" ht="15.75" customHeight="1" x14ac:dyDescent="0.25">
      <c r="A88" s="209" t="s">
        <v>818</v>
      </c>
      <c r="B88" s="210" t="s">
        <v>819</v>
      </c>
      <c r="C88" s="211">
        <v>0.04</v>
      </c>
      <c r="D88" s="212">
        <f>D$33*C88</f>
        <v>80.666705454545465</v>
      </c>
    </row>
    <row r="89" spans="1:4" ht="15.75" customHeight="1" x14ac:dyDescent="0.25">
      <c r="A89" s="213" t="s">
        <v>820</v>
      </c>
      <c r="B89" s="214" t="s">
        <v>821</v>
      </c>
      <c r="C89" s="215">
        <v>1</v>
      </c>
      <c r="D89" s="216">
        <v>0</v>
      </c>
    </row>
    <row r="90" spans="1:4" ht="15.75" customHeight="1" x14ac:dyDescent="0.25">
      <c r="A90" s="18" t="s">
        <v>822</v>
      </c>
      <c r="B90" s="13" t="s">
        <v>823</v>
      </c>
      <c r="C90" s="15">
        <v>1</v>
      </c>
      <c r="D90" s="14">
        <f>(((D$33/30)*7)/12)*C90*C93</f>
        <v>39.212981818181817</v>
      </c>
    </row>
    <row r="91" spans="1:4" ht="15.75" customHeight="1" x14ac:dyDescent="0.25">
      <c r="A91" s="18" t="s">
        <v>820</v>
      </c>
      <c r="B91" s="13" t="s">
        <v>824</v>
      </c>
      <c r="C91" s="15">
        <f>C58</f>
        <v>0.39800000000000008</v>
      </c>
      <c r="D91" s="14">
        <f>D90*C91</f>
        <v>15.606766763636365</v>
      </c>
    </row>
    <row r="92" spans="1:4" ht="15.75" customHeight="1" x14ac:dyDescent="0.25">
      <c r="A92" s="18" t="s">
        <v>822</v>
      </c>
      <c r="B92" s="13" t="s">
        <v>825</v>
      </c>
      <c r="C92" s="17">
        <v>3.8080000000000003E-2</v>
      </c>
      <c r="D92" s="14">
        <f>D$33*C92</f>
        <v>76.794703592727288</v>
      </c>
    </row>
    <row r="93" spans="1:4" ht="15.75" customHeight="1" x14ac:dyDescent="0.25">
      <c r="A93" s="66" t="s">
        <v>826</v>
      </c>
      <c r="B93" s="34" t="s">
        <v>827</v>
      </c>
      <c r="C93" s="67">
        <v>1</v>
      </c>
      <c r="D93" s="35">
        <v>0</v>
      </c>
    </row>
    <row r="94" spans="1:4" ht="15.75" customHeight="1" thickBot="1" x14ac:dyDescent="0.3">
      <c r="A94" s="593" t="s">
        <v>752</v>
      </c>
      <c r="B94" s="594"/>
      <c r="C94" s="172"/>
      <c r="D94" s="173">
        <f>SUM(D86:D88,D90:D92)</f>
        <v>221.35616199272727</v>
      </c>
    </row>
    <row r="95" spans="1:4" ht="53.25" customHeight="1" x14ac:dyDescent="0.25">
      <c r="A95" s="577" t="s">
        <v>828</v>
      </c>
      <c r="B95" s="578"/>
      <c r="C95" s="3"/>
      <c r="D95" s="41"/>
    </row>
    <row r="96" spans="1:4" ht="15.95" customHeight="1" thickBot="1" x14ac:dyDescent="0.3">
      <c r="A96" s="4"/>
      <c r="B96" s="1"/>
      <c r="C96" s="22"/>
      <c r="D96" s="6"/>
    </row>
    <row r="97" spans="1:4" ht="18" customHeight="1" x14ac:dyDescent="0.25">
      <c r="A97" s="591" t="s">
        <v>829</v>
      </c>
      <c r="B97" s="592"/>
      <c r="C97" s="12"/>
      <c r="D97" s="150" t="s">
        <v>734</v>
      </c>
    </row>
    <row r="98" spans="1:4" ht="8.1" customHeight="1" x14ac:dyDescent="0.25">
      <c r="A98" s="7"/>
      <c r="C98" s="8"/>
      <c r="D98" s="127"/>
    </row>
    <row r="99" spans="1:4" ht="15.75" customHeight="1" x14ac:dyDescent="0.25">
      <c r="A99" s="587" t="s">
        <v>830</v>
      </c>
      <c r="B99" s="588"/>
      <c r="C99" s="151"/>
      <c r="D99" s="152">
        <f>SUM(D33,D45,D102)</f>
        <v>2428.6728344727276</v>
      </c>
    </row>
    <row r="100" spans="1:4" ht="8.1" customHeight="1" x14ac:dyDescent="0.25">
      <c r="A100" s="7"/>
      <c r="C100" s="8"/>
      <c r="D100" s="127"/>
    </row>
    <row r="101" spans="1:4" ht="15.75" customHeight="1" x14ac:dyDescent="0.25">
      <c r="A101" s="587" t="s">
        <v>831</v>
      </c>
      <c r="B101" s="588"/>
      <c r="C101" s="151"/>
      <c r="D101" s="152" t="s">
        <v>734</v>
      </c>
    </row>
    <row r="102" spans="1:4" ht="15.75" customHeight="1" x14ac:dyDescent="0.25">
      <c r="A102" s="18" t="s">
        <v>832</v>
      </c>
      <c r="B102" s="13" t="s">
        <v>833</v>
      </c>
      <c r="C102" s="17">
        <v>9.0749999999999997E-2</v>
      </c>
      <c r="D102" s="14">
        <f>D$33*C102</f>
        <v>183.01258800000002</v>
      </c>
    </row>
    <row r="103" spans="1:4" ht="15.75" customHeight="1" x14ac:dyDescent="0.25">
      <c r="A103" s="18" t="s">
        <v>834</v>
      </c>
      <c r="B103" s="13" t="s">
        <v>835</v>
      </c>
      <c r="C103" s="14">
        <v>1</v>
      </c>
      <c r="D103" s="14">
        <f>((D99/30)*C103)/12</f>
        <v>6.7463134290909101</v>
      </c>
    </row>
    <row r="104" spans="1:4" ht="15.75" customHeight="1" x14ac:dyDescent="0.25">
      <c r="A104" s="18" t="s">
        <v>836</v>
      </c>
      <c r="B104" s="13" t="s">
        <v>837</v>
      </c>
      <c r="C104" s="15">
        <v>1.4999999999999999E-2</v>
      </c>
      <c r="D104" s="14">
        <f>((D99/30)*5/12)*C104</f>
        <v>0.50597350718181822</v>
      </c>
    </row>
    <row r="105" spans="1:4" ht="15.75" customHeight="1" x14ac:dyDescent="0.25">
      <c r="A105" s="18" t="s">
        <v>838</v>
      </c>
      <c r="B105" s="13" t="s">
        <v>839</v>
      </c>
      <c r="C105" s="15">
        <v>7.7999999999999996E-3</v>
      </c>
      <c r="D105" s="14">
        <f>((D99/30)*15/12)*C105</f>
        <v>0.78931867120363641</v>
      </c>
    </row>
    <row r="106" spans="1:4" ht="15.75" customHeight="1" x14ac:dyDescent="0.25">
      <c r="A106" s="18" t="s">
        <v>840</v>
      </c>
      <c r="B106" s="13" t="s">
        <v>841</v>
      </c>
      <c r="C106" s="15">
        <v>0.02</v>
      </c>
      <c r="D106" s="14">
        <f>(((D33+(D33/3))/12)*(4/12))*C106</f>
        <v>1.4938278787878789</v>
      </c>
    </row>
    <row r="107" spans="1:4" ht="15.75" customHeight="1" x14ac:dyDescent="0.25">
      <c r="A107" s="18" t="s">
        <v>842</v>
      </c>
      <c r="B107" s="13" t="s">
        <v>843</v>
      </c>
      <c r="C107" s="14">
        <v>3</v>
      </c>
      <c r="D107" s="14">
        <f>((D99/30)*C107)/12</f>
        <v>20.23894028727273</v>
      </c>
    </row>
    <row r="108" spans="1:4" ht="15.75" customHeight="1" x14ac:dyDescent="0.25">
      <c r="A108" s="18" t="s">
        <v>844</v>
      </c>
      <c r="B108" s="13" t="s">
        <v>845</v>
      </c>
      <c r="C108" s="14"/>
      <c r="D108" s="14">
        <f>((D99/30)*C108)/12</f>
        <v>0</v>
      </c>
    </row>
    <row r="109" spans="1:4" ht="15.75" customHeight="1" x14ac:dyDescent="0.25">
      <c r="A109" s="595" t="s">
        <v>752</v>
      </c>
      <c r="B109" s="588"/>
      <c r="C109" s="175"/>
      <c r="D109" s="44">
        <f>SUM(D102:D107)</f>
        <v>212.78696177353697</v>
      </c>
    </row>
    <row r="110" spans="1:4" ht="15.75" customHeight="1" x14ac:dyDescent="0.25">
      <c r="A110" s="18" t="s">
        <v>846</v>
      </c>
      <c r="B110" s="13" t="s">
        <v>847</v>
      </c>
      <c r="C110" s="15">
        <f>C58</f>
        <v>0.39800000000000008</v>
      </c>
      <c r="D110" s="14">
        <f>D109*C110</f>
        <v>84.689210785867729</v>
      </c>
    </row>
    <row r="111" spans="1:4" ht="15.75" customHeight="1" x14ac:dyDescent="0.25">
      <c r="A111" s="596" t="s">
        <v>752</v>
      </c>
      <c r="B111" s="588"/>
      <c r="C111" s="179"/>
      <c r="D111" s="178">
        <f>SUM(D109:D110)</f>
        <v>297.47617255940469</v>
      </c>
    </row>
    <row r="112" spans="1:4" ht="61.5" customHeight="1" x14ac:dyDescent="0.25">
      <c r="A112" s="577" t="s">
        <v>848</v>
      </c>
      <c r="B112" s="578"/>
      <c r="C112" s="3"/>
      <c r="D112" s="41"/>
    </row>
    <row r="113" spans="1:4" ht="8.1" customHeight="1" x14ac:dyDescent="0.25">
      <c r="A113" s="125"/>
      <c r="B113" s="42"/>
      <c r="C113" s="140"/>
      <c r="D113" s="127"/>
    </row>
    <row r="114" spans="1:4" ht="15.75" customHeight="1" x14ac:dyDescent="0.25">
      <c r="A114" s="587" t="s">
        <v>849</v>
      </c>
      <c r="B114" s="588"/>
      <c r="C114" s="151"/>
      <c r="D114" s="152" t="s">
        <v>734</v>
      </c>
    </row>
    <row r="115" spans="1:4" ht="15.75" customHeight="1" x14ac:dyDescent="0.25">
      <c r="A115" s="18" t="s">
        <v>850</v>
      </c>
      <c r="B115" s="13" t="s">
        <v>851</v>
      </c>
      <c r="C115" s="14">
        <v>0</v>
      </c>
      <c r="D115" s="14">
        <f>((D$37+D$82)/C$28)*C115*C$18</f>
        <v>0</v>
      </c>
    </row>
    <row r="116" spans="1:4" ht="15.75" customHeight="1" x14ac:dyDescent="0.25">
      <c r="A116" s="18" t="s">
        <v>852</v>
      </c>
      <c r="B116" s="13" t="s">
        <v>853</v>
      </c>
      <c r="C116" s="15">
        <f>C58</f>
        <v>0.39800000000000008</v>
      </c>
      <c r="D116" s="14">
        <f>D115*C116</f>
        <v>0</v>
      </c>
    </row>
    <row r="117" spans="1:4" ht="15.75" customHeight="1" x14ac:dyDescent="0.25">
      <c r="A117" s="596" t="s">
        <v>752</v>
      </c>
      <c r="B117" s="588"/>
      <c r="C117" s="177"/>
      <c r="D117" s="178">
        <f>SUM(D115:D116)</f>
        <v>0</v>
      </c>
    </row>
    <row r="118" spans="1:4" ht="38.25" customHeight="1" x14ac:dyDescent="0.25">
      <c r="A118" s="577"/>
      <c r="B118" s="578"/>
      <c r="C118" s="3"/>
      <c r="D118" s="41"/>
    </row>
    <row r="119" spans="1:4" ht="8.1" customHeight="1" x14ac:dyDescent="0.25">
      <c r="A119" s="7"/>
      <c r="C119" s="20"/>
      <c r="D119" s="127"/>
    </row>
    <row r="120" spans="1:4" ht="15.75" customHeight="1" x14ac:dyDescent="0.25">
      <c r="A120" s="587" t="s">
        <v>854</v>
      </c>
      <c r="B120" s="588"/>
      <c r="C120" s="151"/>
      <c r="D120" s="152" t="s">
        <v>734</v>
      </c>
    </row>
    <row r="121" spans="1:4" ht="15.75" customHeight="1" x14ac:dyDescent="0.25">
      <c r="A121" s="18" t="s">
        <v>855</v>
      </c>
      <c r="B121" s="13" t="s">
        <v>856</v>
      </c>
      <c r="C121" s="15"/>
      <c r="D121" s="14">
        <f>D111</f>
        <v>297.47617255940469</v>
      </c>
    </row>
    <row r="122" spans="1:4" ht="15.75" customHeight="1" x14ac:dyDescent="0.25">
      <c r="A122" s="18" t="s">
        <v>857</v>
      </c>
      <c r="B122" s="13" t="s">
        <v>858</v>
      </c>
      <c r="C122" s="14"/>
      <c r="D122" s="14">
        <f>D117</f>
        <v>0</v>
      </c>
    </row>
    <row r="123" spans="1:4" ht="15.75" customHeight="1" thickBot="1" x14ac:dyDescent="0.3">
      <c r="A123" s="593" t="s">
        <v>752</v>
      </c>
      <c r="B123" s="594"/>
      <c r="C123" s="172"/>
      <c r="D123" s="173">
        <f>SUM(D121:D122)</f>
        <v>297.47617255940469</v>
      </c>
    </row>
    <row r="124" spans="1:4" ht="8.1" customHeight="1" x14ac:dyDescent="0.25">
      <c r="A124" s="153"/>
      <c r="B124" s="154"/>
      <c r="C124" s="155"/>
      <c r="D124" s="156"/>
    </row>
    <row r="125" spans="1:4" ht="8.1" customHeight="1" thickBot="1" x14ac:dyDescent="0.3">
      <c r="A125" s="125"/>
      <c r="B125" s="42"/>
      <c r="C125" s="140"/>
      <c r="D125" s="127"/>
    </row>
    <row r="126" spans="1:4" ht="18" customHeight="1" x14ac:dyDescent="0.25">
      <c r="A126" s="591" t="s">
        <v>859</v>
      </c>
      <c r="B126" s="592"/>
      <c r="C126" s="12"/>
      <c r="D126" s="150" t="s">
        <v>734</v>
      </c>
    </row>
    <row r="127" spans="1:4" ht="15.75" customHeight="1" x14ac:dyDescent="0.25">
      <c r="A127" s="174" t="s">
        <v>860</v>
      </c>
      <c r="B127" s="175" t="s">
        <v>861</v>
      </c>
      <c r="C127" s="176"/>
      <c r="D127" s="44">
        <f>tbUNIFORMESL[[#Totals],[VL. MENSAL]]</f>
        <v>167.72833333333332</v>
      </c>
    </row>
    <row r="128" spans="1:4" ht="15.75" customHeight="1" x14ac:dyDescent="0.25">
      <c r="A128" s="174" t="s">
        <v>862</v>
      </c>
      <c r="B128" s="175" t="s">
        <v>863</v>
      </c>
      <c r="C128" s="176"/>
      <c r="D128" s="44">
        <v>0</v>
      </c>
    </row>
    <row r="129" spans="1:4" ht="15.75" customHeight="1" x14ac:dyDescent="0.25">
      <c r="A129" s="174" t="s">
        <v>864</v>
      </c>
      <c r="B129" s="175" t="s">
        <v>865</v>
      </c>
      <c r="C129" s="176"/>
      <c r="D129" s="44">
        <v>0</v>
      </c>
    </row>
    <row r="130" spans="1:4" ht="15.75" customHeight="1" x14ac:dyDescent="0.25">
      <c r="A130" s="174" t="s">
        <v>866</v>
      </c>
      <c r="B130" s="175" t="s">
        <v>867</v>
      </c>
      <c r="C130" s="176"/>
      <c r="D130" s="44">
        <v>0</v>
      </c>
    </row>
    <row r="131" spans="1:4" ht="15.75" customHeight="1" thickBot="1" x14ac:dyDescent="0.3">
      <c r="A131" s="593" t="s">
        <v>752</v>
      </c>
      <c r="B131" s="594"/>
      <c r="C131" s="172"/>
      <c r="D131" s="173">
        <f>SUM(D127:D130)</f>
        <v>167.72833333333332</v>
      </c>
    </row>
    <row r="132" spans="1:4" ht="15.95" customHeight="1" thickBot="1" x14ac:dyDescent="0.3">
      <c r="A132" s="4"/>
      <c r="B132" s="1"/>
      <c r="C132" s="22"/>
      <c r="D132" s="6"/>
    </row>
    <row r="133" spans="1:4" ht="18" customHeight="1" x14ac:dyDescent="0.25">
      <c r="A133" s="591" t="s">
        <v>868</v>
      </c>
      <c r="B133" s="592"/>
      <c r="C133" s="12"/>
      <c r="D133" s="150" t="s">
        <v>734</v>
      </c>
    </row>
    <row r="134" spans="1:4" ht="8.1" customHeight="1" x14ac:dyDescent="0.25">
      <c r="A134" s="7"/>
      <c r="C134" s="8"/>
      <c r="D134" s="127"/>
    </row>
    <row r="135" spans="1:4" ht="15.75" customHeight="1" x14ac:dyDescent="0.25">
      <c r="A135" s="587" t="s">
        <v>869</v>
      </c>
      <c r="B135" s="588"/>
      <c r="C135" s="151"/>
      <c r="D135" s="152">
        <f>SUM(D37,D82,D94,D123,D131)</f>
        <v>4164.1826742725207</v>
      </c>
    </row>
    <row r="136" spans="1:4" ht="8.1" customHeight="1" x14ac:dyDescent="0.25">
      <c r="A136" s="7"/>
      <c r="C136" s="8"/>
      <c r="D136" s="127"/>
    </row>
    <row r="137" spans="1:4" ht="15.75" customHeight="1" x14ac:dyDescent="0.25">
      <c r="A137" s="66" t="s">
        <v>870</v>
      </c>
      <c r="B137" s="34" t="s">
        <v>871</v>
      </c>
      <c r="C137" s="67">
        <v>0.05</v>
      </c>
      <c r="D137" s="35">
        <f>D$135*C137</f>
        <v>208.20913371362604</v>
      </c>
    </row>
    <row r="138" spans="1:4" ht="15.75" customHeight="1" x14ac:dyDescent="0.25">
      <c r="A138" s="66" t="s">
        <v>872</v>
      </c>
      <c r="B138" s="34" t="s">
        <v>873</v>
      </c>
      <c r="C138" s="67">
        <v>0.1</v>
      </c>
      <c r="D138" s="35">
        <f>SUM(D135,D137)*C138</f>
        <v>437.23918079861471</v>
      </c>
    </row>
    <row r="139" spans="1:4" ht="8.1" customHeight="1" x14ac:dyDescent="0.25">
      <c r="A139" s="7"/>
      <c r="C139" s="8"/>
      <c r="D139" s="127"/>
    </row>
    <row r="140" spans="1:4" ht="15.75" customHeight="1" x14ac:dyDescent="0.25">
      <c r="A140" s="587" t="s">
        <v>874</v>
      </c>
      <c r="B140" s="588"/>
      <c r="C140" s="151"/>
      <c r="D140" s="152">
        <f>SUM(D135,D137:D138)</f>
        <v>4809.6309887847619</v>
      </c>
    </row>
    <row r="141" spans="1:4" ht="8.1" customHeight="1" x14ac:dyDescent="0.25">
      <c r="A141" s="7"/>
      <c r="C141" s="8"/>
      <c r="D141" s="127"/>
    </row>
    <row r="142" spans="1:4" ht="15.75" customHeight="1" x14ac:dyDescent="0.25">
      <c r="A142" s="18" t="s">
        <v>875</v>
      </c>
      <c r="B142" s="13" t="s">
        <v>876</v>
      </c>
      <c r="C142" s="19">
        <f>'DADOS CCT'!D93</f>
        <v>7.5999999999999998E-2</v>
      </c>
      <c r="D142" s="14">
        <f>(D$140/(1-C$146))*C142</f>
        <v>416.56063264688538</v>
      </c>
    </row>
    <row r="143" spans="1:4" ht="15.75" customHeight="1" x14ac:dyDescent="0.25">
      <c r="A143" s="18" t="s">
        <v>877</v>
      </c>
      <c r="B143" s="13" t="s">
        <v>878</v>
      </c>
      <c r="C143" s="19">
        <f>'DADOS CCT'!D92</f>
        <v>1.6500000000000001E-2</v>
      </c>
      <c r="D143" s="14">
        <f>(D$140/(1-C$146))*C143</f>
        <v>90.437505772021169</v>
      </c>
    </row>
    <row r="144" spans="1:4" ht="15.75" customHeight="1" x14ac:dyDescent="0.25">
      <c r="A144" s="18" t="s">
        <v>879</v>
      </c>
      <c r="B144" s="13" t="s">
        <v>880</v>
      </c>
      <c r="C144" s="15"/>
      <c r="D144" s="14">
        <f>(D$140/(1-C$146))*C144</f>
        <v>0</v>
      </c>
    </row>
    <row r="145" spans="1:4" ht="15.75" customHeight="1" x14ac:dyDescent="0.25">
      <c r="A145" s="18" t="s">
        <v>881</v>
      </c>
      <c r="B145" s="13" t="s">
        <v>882</v>
      </c>
      <c r="C145" s="19">
        <f>'DADOS CCT'!D91</f>
        <v>0.03</v>
      </c>
      <c r="D145" s="14">
        <f>(D$140/(1-C$146))*C145</f>
        <v>164.43182867640212</v>
      </c>
    </row>
    <row r="146" spans="1:4" ht="15.75" customHeight="1" thickBot="1" x14ac:dyDescent="0.3">
      <c r="A146" s="599" t="s">
        <v>752</v>
      </c>
      <c r="B146" s="600"/>
      <c r="C146" s="43">
        <f>SUM(C142:C145)</f>
        <v>0.1225</v>
      </c>
      <c r="D146" s="39">
        <f>SUM(D137:D138,D142:D145)</f>
        <v>1316.8782816075495</v>
      </c>
    </row>
    <row r="147" spans="1:4" ht="15.95" customHeight="1" thickBot="1" x14ac:dyDescent="0.3">
      <c r="A147" s="4"/>
      <c r="B147" s="1"/>
      <c r="C147" s="22"/>
      <c r="D147" s="6"/>
    </row>
    <row r="148" spans="1:4" ht="18" customHeight="1" x14ac:dyDescent="0.25">
      <c r="A148" s="601" t="s">
        <v>883</v>
      </c>
      <c r="B148" s="602"/>
      <c r="C148" s="170"/>
      <c r="D148" s="171" t="s">
        <v>734</v>
      </c>
    </row>
    <row r="149" spans="1:4" ht="15.75" customHeight="1" x14ac:dyDescent="0.25">
      <c r="A149" s="45"/>
      <c r="B149" s="46" t="s">
        <v>884</v>
      </c>
      <c r="C149" s="136"/>
      <c r="D149" s="28">
        <f>D37</f>
        <v>2016.6676363636366</v>
      </c>
    </row>
    <row r="150" spans="1:4" ht="15.75" customHeight="1" x14ac:dyDescent="0.25">
      <c r="A150" s="45"/>
      <c r="B150" s="46" t="s">
        <v>885</v>
      </c>
      <c r="C150" s="136"/>
      <c r="D150" s="28">
        <f>D82</f>
        <v>1460.9543700234185</v>
      </c>
    </row>
    <row r="151" spans="1:4" ht="15.75" customHeight="1" x14ac:dyDescent="0.25">
      <c r="A151" s="45"/>
      <c r="B151" s="46" t="s">
        <v>886</v>
      </c>
      <c r="C151" s="143"/>
      <c r="D151" s="28">
        <f>D94</f>
        <v>221.35616199272727</v>
      </c>
    </row>
    <row r="152" spans="1:4" ht="15.75" customHeight="1" x14ac:dyDescent="0.25">
      <c r="A152" s="45"/>
      <c r="B152" s="46" t="s">
        <v>887</v>
      </c>
      <c r="C152" s="136"/>
      <c r="D152" s="28">
        <f>D123</f>
        <v>297.47617255940469</v>
      </c>
    </row>
    <row r="153" spans="1:4" ht="15.75" customHeight="1" x14ac:dyDescent="0.25">
      <c r="A153" s="45"/>
      <c r="B153" s="46" t="s">
        <v>888</v>
      </c>
      <c r="C153" s="136"/>
      <c r="D153" s="28">
        <f>D131</f>
        <v>167.72833333333332</v>
      </c>
    </row>
    <row r="154" spans="1:4" ht="15.75" customHeight="1" x14ac:dyDescent="0.25">
      <c r="A154" s="585" t="s">
        <v>752</v>
      </c>
      <c r="B154" s="412"/>
      <c r="C154" s="137"/>
      <c r="D154" s="138">
        <f>SUM(D149:D153)</f>
        <v>4164.1826742725207</v>
      </c>
    </row>
    <row r="155" spans="1:4" ht="15.75" customHeight="1" x14ac:dyDescent="0.25">
      <c r="A155" s="45"/>
      <c r="B155" s="46" t="s">
        <v>889</v>
      </c>
      <c r="C155" s="143"/>
      <c r="D155" s="28">
        <f>D146</f>
        <v>1316.8782816075495</v>
      </c>
    </row>
    <row r="156" spans="1:4" ht="15.75" customHeight="1" thickBot="1" x14ac:dyDescent="0.35">
      <c r="A156" s="603" t="s">
        <v>890</v>
      </c>
      <c r="B156" s="604"/>
      <c r="C156" s="168"/>
      <c r="D156" s="169">
        <f>TRUNC(SUM(D154:D155),2)</f>
        <v>5481.06</v>
      </c>
    </row>
    <row r="157" spans="1:4" ht="8.1" customHeight="1" thickBot="1" x14ac:dyDescent="0.3">
      <c r="A157" s="9"/>
      <c r="B157" s="10"/>
      <c r="C157" s="21"/>
      <c r="D157" s="11"/>
    </row>
    <row r="158" spans="1:4" ht="15.75" customHeight="1" thickBot="1" x14ac:dyDescent="0.3">
      <c r="A158" s="605" t="s">
        <v>891</v>
      </c>
      <c r="B158" s="470"/>
      <c r="C158" s="166"/>
      <c r="D158" s="167">
        <v>1</v>
      </c>
    </row>
    <row r="159" spans="1:4" ht="8.1" customHeight="1" thickBot="1" x14ac:dyDescent="0.3">
      <c r="A159" s="9"/>
      <c r="B159" s="10"/>
      <c r="C159" s="21"/>
      <c r="D159" s="11"/>
    </row>
    <row r="160" spans="1:4" ht="15.75" customHeight="1" thickBot="1" x14ac:dyDescent="0.35">
      <c r="A160" s="597" t="s">
        <v>892</v>
      </c>
      <c r="B160" s="598"/>
      <c r="C160" s="164"/>
      <c r="D160" s="165">
        <f>TRUNC(D156*D158,2)</f>
        <v>5481.06</v>
      </c>
    </row>
    <row r="161" spans="1:4" ht="15.95" customHeight="1" thickBot="1" x14ac:dyDescent="0.3"/>
    <row r="162" spans="1:4" ht="15.75" customHeight="1" thickBot="1" x14ac:dyDescent="0.35">
      <c r="A162" s="561" t="s">
        <v>893</v>
      </c>
      <c r="B162" s="562"/>
      <c r="C162" s="162"/>
      <c r="D162" s="163">
        <f>D156/D37</f>
        <v>2.7178796848662672</v>
      </c>
    </row>
    <row r="163" spans="1:4" ht="15.95" customHeight="1" thickBot="1" x14ac:dyDescent="0.3">
      <c r="A163" s="33"/>
      <c r="B163" s="33"/>
      <c r="C163" s="33"/>
    </row>
    <row r="164" spans="1:4" ht="15.75" customHeight="1" x14ac:dyDescent="0.3">
      <c r="A164" s="551" t="s">
        <v>894</v>
      </c>
      <c r="B164" s="551"/>
      <c r="C164" s="160"/>
      <c r="D164" s="161"/>
    </row>
    <row r="165" spans="1:4" ht="15" customHeight="1" thickBot="1" x14ac:dyDescent="0.3">
      <c r="A165" s="157"/>
      <c r="B165" s="157" t="s">
        <v>895</v>
      </c>
      <c r="C165" s="157"/>
      <c r="D165" s="158">
        <f>TRUNC(D156/C$18,2)</f>
        <v>261</v>
      </c>
    </row>
  </sheetData>
  <mergeCells count="65">
    <mergeCell ref="C15:D15"/>
    <mergeCell ref="C3:D3"/>
    <mergeCell ref="C4:D4"/>
    <mergeCell ref="C5:D5"/>
    <mergeCell ref="A7:B7"/>
    <mergeCell ref="C8:D8"/>
    <mergeCell ref="C9:D9"/>
    <mergeCell ref="C10:D10"/>
    <mergeCell ref="C11:D11"/>
    <mergeCell ref="C12:D12"/>
    <mergeCell ref="C13:D13"/>
    <mergeCell ref="C14:D14"/>
    <mergeCell ref="A33:B33"/>
    <mergeCell ref="C16:D16"/>
    <mergeCell ref="C17:D17"/>
    <mergeCell ref="C18:D18"/>
    <mergeCell ref="C19:D19"/>
    <mergeCell ref="C20:D20"/>
    <mergeCell ref="C21:D21"/>
    <mergeCell ref="C22:D22"/>
    <mergeCell ref="C23:D23"/>
    <mergeCell ref="A25:B25"/>
    <mergeCell ref="C25:D25"/>
    <mergeCell ref="A27:B27"/>
    <mergeCell ref="A76:B76"/>
    <mergeCell ref="A37:B37"/>
    <mergeCell ref="A38:B38"/>
    <mergeCell ref="A40:B40"/>
    <mergeCell ref="A42:B42"/>
    <mergeCell ref="A45:B45"/>
    <mergeCell ref="A46:B46"/>
    <mergeCell ref="A48:B48"/>
    <mergeCell ref="A58:B58"/>
    <mergeCell ref="A59:B59"/>
    <mergeCell ref="A61:B61"/>
    <mergeCell ref="A75:B75"/>
    <mergeCell ref="A114:B114"/>
    <mergeCell ref="A78:B78"/>
    <mergeCell ref="A82:B82"/>
    <mergeCell ref="A85:B85"/>
    <mergeCell ref="A94:B94"/>
    <mergeCell ref="A95:B95"/>
    <mergeCell ref="A97:B97"/>
    <mergeCell ref="A99:B99"/>
    <mergeCell ref="A101:B101"/>
    <mergeCell ref="A109:B109"/>
    <mergeCell ref="A111:B111"/>
    <mergeCell ref="A112:B112"/>
    <mergeCell ref="A154:B154"/>
    <mergeCell ref="A117:B117"/>
    <mergeCell ref="A118:B118"/>
    <mergeCell ref="A120:B120"/>
    <mergeCell ref="A123:B123"/>
    <mergeCell ref="A126:B126"/>
    <mergeCell ref="A131:B131"/>
    <mergeCell ref="A133:B133"/>
    <mergeCell ref="A135:B135"/>
    <mergeCell ref="A140:B140"/>
    <mergeCell ref="A146:B146"/>
    <mergeCell ref="A148:B148"/>
    <mergeCell ref="A156:B156"/>
    <mergeCell ref="A158:B158"/>
    <mergeCell ref="A160:B160"/>
    <mergeCell ref="A162:B162"/>
    <mergeCell ref="A164:B164"/>
  </mergeCells>
  <pageMargins left="0.70866141732283472" right="0.70866141732283472" top="0.74803149606299213" bottom="0.74803149606299213" header="0" footer="0"/>
  <pageSetup paperSize="9" scale="80" fitToHeight="0" orientation="portrait" r:id="rId1"/>
  <rowBreaks count="4" manualBreakCount="4">
    <brk id="38" max="3" man="1"/>
    <brk id="83" max="3" man="1"/>
    <brk id="90" max="16383" man="1"/>
    <brk id="124" max="3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F98C7-E33D-4C4A-BF92-B5FB66898F32}">
  <sheetPr>
    <tabColor rgb="FF92D050"/>
    <pageSetUpPr fitToPage="1"/>
  </sheetPr>
  <dimension ref="A1:AA998"/>
  <sheetViews>
    <sheetView workbookViewId="0">
      <selection sqref="A1:G1"/>
    </sheetView>
  </sheetViews>
  <sheetFormatPr defaultColWidth="14.42578125" defaultRowHeight="15" customHeight="1" x14ac:dyDescent="0.25"/>
  <cols>
    <col min="1" max="1" width="93" customWidth="1"/>
    <col min="2" max="2" width="13.85546875" bestFit="1" customWidth="1"/>
    <col min="3" max="3" width="25.7109375" customWidth="1"/>
    <col min="4" max="4" width="24.5703125" customWidth="1"/>
    <col min="5" max="5" width="24.5703125" bestFit="1" customWidth="1"/>
    <col min="6" max="6" width="17.7109375" bestFit="1" customWidth="1"/>
    <col min="7" max="7" width="15.7109375" bestFit="1" customWidth="1"/>
    <col min="8" max="8" width="16.85546875" bestFit="1" customWidth="1"/>
    <col min="9" max="9" width="15" bestFit="1" customWidth="1"/>
    <col min="10" max="27" width="8.7109375" customWidth="1"/>
  </cols>
  <sheetData>
    <row r="1" spans="1:27" s="38" customFormat="1" ht="40.5" customHeight="1" x14ac:dyDescent="0.25">
      <c r="A1" s="434" t="s">
        <v>1198</v>
      </c>
      <c r="B1" s="434"/>
      <c r="C1" s="434"/>
      <c r="D1" s="434"/>
      <c r="E1" s="434"/>
      <c r="F1" s="434"/>
      <c r="G1" s="434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</row>
    <row r="2" spans="1:27" ht="15.75" x14ac:dyDescent="0.25">
      <c r="A2" s="610"/>
      <c r="B2" s="611"/>
      <c r="C2" s="611"/>
      <c r="D2" s="611"/>
      <c r="E2" s="611"/>
      <c r="F2" s="611"/>
      <c r="G2" s="611"/>
    </row>
    <row r="3" spans="1:27" s="339" customFormat="1" ht="15.75" x14ac:dyDescent="0.25">
      <c r="A3" s="606" t="s">
        <v>1165</v>
      </c>
      <c r="B3" s="607"/>
      <c r="C3" s="607"/>
      <c r="D3" s="607"/>
      <c r="E3" s="608"/>
      <c r="F3" s="609" t="s">
        <v>912</v>
      </c>
      <c r="G3" s="609"/>
      <c r="H3" s="609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</row>
    <row r="4" spans="1:27" s="339" customFormat="1" x14ac:dyDescent="0.25">
      <c r="A4" s="346" t="s">
        <v>908</v>
      </c>
      <c r="B4" s="346" t="s">
        <v>55</v>
      </c>
      <c r="C4" s="347" t="s">
        <v>1105</v>
      </c>
      <c r="D4" s="347" t="s">
        <v>1122</v>
      </c>
      <c r="E4" s="347" t="s">
        <v>1106</v>
      </c>
      <c r="F4" s="347" t="s">
        <v>909</v>
      </c>
      <c r="G4" s="348" t="s">
        <v>913</v>
      </c>
      <c r="H4" s="348" t="s">
        <v>910</v>
      </c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</row>
    <row r="5" spans="1:27" s="339" customFormat="1" ht="30" x14ac:dyDescent="0.25">
      <c r="A5" s="115" t="s">
        <v>1169</v>
      </c>
      <c r="B5" s="114" t="s">
        <v>55</v>
      </c>
      <c r="C5" s="341">
        <v>1</v>
      </c>
      <c r="D5" s="342">
        <v>3</v>
      </c>
      <c r="E5" s="342">
        <f>tbUNIFORMESL[[#This Row],[QUANTIDADE MENSAL]]*12/tbUNIFORMESL[[#This Row],[VIDA ÚTIL (MESES)]]</f>
        <v>4</v>
      </c>
      <c r="F5" s="342">
        <v>63</v>
      </c>
      <c r="G5" s="341">
        <f>tbUNIFORMESL[[#This Row],[VL. ANUAL]]/12</f>
        <v>21</v>
      </c>
      <c r="H5" s="341">
        <f>tbUNIFORMESL[[#This Row],[VL. UNITÁRIO]]*tbUNIFORMESL[[#This Row],[QUANTIDADE ANUAL]]</f>
        <v>252</v>
      </c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</row>
    <row r="6" spans="1:27" s="339" customFormat="1" ht="30" x14ac:dyDescent="0.25">
      <c r="A6" s="115" t="s">
        <v>1166</v>
      </c>
      <c r="B6" s="114" t="s">
        <v>55</v>
      </c>
      <c r="C6" s="341">
        <v>1</v>
      </c>
      <c r="D6" s="342">
        <v>3</v>
      </c>
      <c r="E6" s="342">
        <f>tbUNIFORMESL[[#This Row],[QUANTIDADE MENSAL]]*12/tbUNIFORMESL[[#This Row],[VIDA ÚTIL (MESES)]]</f>
        <v>4</v>
      </c>
      <c r="F6" s="342">
        <v>29.48</v>
      </c>
      <c r="G6" s="341">
        <f>tbUNIFORMESL[[#This Row],[VL. ANUAL]]/12</f>
        <v>9.8266666666666662</v>
      </c>
      <c r="H6" s="341">
        <f>tbUNIFORMESL[[#This Row],[VL. UNITÁRIO]]*tbUNIFORMESL[[#This Row],[QUANTIDADE ANUAL]]</f>
        <v>117.92</v>
      </c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</row>
    <row r="7" spans="1:27" s="339" customFormat="1" ht="30" x14ac:dyDescent="0.25">
      <c r="A7" s="115" t="s">
        <v>1167</v>
      </c>
      <c r="B7" s="114" t="s">
        <v>55</v>
      </c>
      <c r="C7" s="341">
        <v>1</v>
      </c>
      <c r="D7" s="342">
        <v>3</v>
      </c>
      <c r="E7" s="342">
        <f>tbUNIFORMESL[[#This Row],[QUANTIDADE MENSAL]]*12/tbUNIFORMESL[[#This Row],[VIDA ÚTIL (MESES)]]</f>
        <v>4</v>
      </c>
      <c r="F7" s="342">
        <v>85.97</v>
      </c>
      <c r="G7" s="341">
        <f>tbUNIFORMESL[[#This Row],[VL. ANUAL]]/12</f>
        <v>28.656666666666666</v>
      </c>
      <c r="H7" s="341">
        <f>tbUNIFORMESL[[#This Row],[VL. UNITÁRIO]]*tbUNIFORMESL[[#This Row],[QUANTIDADE ANUAL]]</f>
        <v>343.88</v>
      </c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</row>
    <row r="8" spans="1:27" s="339" customFormat="1" ht="45" x14ac:dyDescent="0.25">
      <c r="A8" s="115" t="s">
        <v>1168</v>
      </c>
      <c r="B8" s="114" t="s">
        <v>55</v>
      </c>
      <c r="C8" s="341">
        <v>1</v>
      </c>
      <c r="D8" s="342">
        <v>12</v>
      </c>
      <c r="E8" s="342">
        <f>tbUNIFORMESL[[#This Row],[QUANTIDADE MENSAL]]*12/tbUNIFORMESL[[#This Row],[VIDA ÚTIL (MESES)]]</f>
        <v>1</v>
      </c>
      <c r="F8" s="342">
        <v>199.45</v>
      </c>
      <c r="G8" s="341">
        <f>tbUNIFORMESL[[#This Row],[VL. ANUAL]]/12</f>
        <v>16.620833333333334</v>
      </c>
      <c r="H8" s="341">
        <f>tbUNIFORMESL[[#This Row],[VL. UNITÁRIO]]*tbUNIFORMESL[[#This Row],[QUANTIDADE ANUAL]]</f>
        <v>199.45</v>
      </c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</row>
    <row r="9" spans="1:27" s="339" customFormat="1" x14ac:dyDescent="0.25">
      <c r="A9" s="115" t="s">
        <v>1170</v>
      </c>
      <c r="B9" s="114" t="s">
        <v>55</v>
      </c>
      <c r="C9" s="341">
        <v>1</v>
      </c>
      <c r="D9" s="342">
        <v>6</v>
      </c>
      <c r="E9" s="342">
        <f>tbUNIFORMESL[[#This Row],[QUANTIDADE MENSAL]]*12/tbUNIFORMESL[[#This Row],[VIDA ÚTIL (MESES)]]</f>
        <v>2</v>
      </c>
      <c r="F9" s="342">
        <v>54.19</v>
      </c>
      <c r="G9" s="341">
        <f>tbUNIFORMESL[[#This Row],[VL. ANUAL]]/12</f>
        <v>9.0316666666666663</v>
      </c>
      <c r="H9" s="341">
        <f>tbUNIFORMESL[[#This Row],[VL. UNITÁRIO]]*tbUNIFORMESL[[#This Row],[QUANTIDADE ANUAL]]</f>
        <v>108.38</v>
      </c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</row>
    <row r="10" spans="1:27" s="339" customFormat="1" x14ac:dyDescent="0.25">
      <c r="A10" s="115" t="s">
        <v>1171</v>
      </c>
      <c r="B10" s="114" t="s">
        <v>911</v>
      </c>
      <c r="C10" s="341">
        <v>4</v>
      </c>
      <c r="D10" s="342">
        <v>6</v>
      </c>
      <c r="E10" s="342">
        <f>tbUNIFORMESL[[#This Row],[QUANTIDADE MENSAL]]*12/tbUNIFORMESL[[#This Row],[VIDA ÚTIL (MESES)]]</f>
        <v>8</v>
      </c>
      <c r="F10" s="342">
        <v>8</v>
      </c>
      <c r="G10" s="341">
        <f>tbUNIFORMESL[[#This Row],[VL. ANUAL]]/12</f>
        <v>5.333333333333333</v>
      </c>
      <c r="H10" s="341">
        <f>tbUNIFORMESL[[#This Row],[VL. UNITÁRIO]]*tbUNIFORMESL[[#This Row],[QUANTIDADE ANUAL]]</f>
        <v>64</v>
      </c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</row>
    <row r="11" spans="1:27" s="339" customFormat="1" x14ac:dyDescent="0.25">
      <c r="A11" s="45" t="s">
        <v>1172</v>
      </c>
      <c r="B11" s="114" t="s">
        <v>55</v>
      </c>
      <c r="C11" s="341">
        <v>1</v>
      </c>
      <c r="D11" s="342">
        <v>12</v>
      </c>
      <c r="E11" s="342">
        <f>tbUNIFORMESL[[#This Row],[QUANTIDADE MENSAL]]*12/tbUNIFORMESL[[#This Row],[VIDA ÚTIL (MESES)]]</f>
        <v>1</v>
      </c>
      <c r="F11" s="342">
        <v>18.579999999999998</v>
      </c>
      <c r="G11" s="341">
        <f>tbUNIFORMESL[[#This Row],[VL. ANUAL]]/12</f>
        <v>1.5483333333333331</v>
      </c>
      <c r="H11" s="341">
        <f>tbUNIFORMESL[[#This Row],[VL. UNITÁRIO]]*tbUNIFORMESL[[#This Row],[QUANTIDADE ANUAL]]</f>
        <v>18.579999999999998</v>
      </c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</row>
    <row r="12" spans="1:27" s="339" customFormat="1" x14ac:dyDescent="0.25">
      <c r="A12" s="45" t="s">
        <v>1173</v>
      </c>
      <c r="B12" s="114" t="s">
        <v>55</v>
      </c>
      <c r="C12" s="341">
        <v>1</v>
      </c>
      <c r="D12" s="342">
        <v>12</v>
      </c>
      <c r="E12" s="342">
        <f>tbUNIFORMESL[[#This Row],[QUANTIDADE MENSAL]]*12/tbUNIFORMESL[[#This Row],[VIDA ÚTIL (MESES)]]</f>
        <v>1</v>
      </c>
      <c r="F12" s="342">
        <v>16</v>
      </c>
      <c r="G12" s="341">
        <f>tbUNIFORMESL[[#This Row],[VL. ANUAL]]/12</f>
        <v>1.3333333333333333</v>
      </c>
      <c r="H12" s="341">
        <f>tbUNIFORMESL[[#This Row],[VL. UNITÁRIO]]*tbUNIFORMESL[[#This Row],[QUANTIDADE ANUAL]]</f>
        <v>16</v>
      </c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</row>
    <row r="13" spans="1:27" s="339" customFormat="1" ht="30" x14ac:dyDescent="0.25">
      <c r="A13" s="115" t="s">
        <v>1174</v>
      </c>
      <c r="B13" s="114" t="s">
        <v>55</v>
      </c>
      <c r="C13" s="341">
        <v>1</v>
      </c>
      <c r="D13" s="342">
        <v>12</v>
      </c>
      <c r="E13" s="342">
        <f>tbUNIFORMESL[[#This Row],[QUANTIDADE MENSAL]]*12/tbUNIFORMESL[[#This Row],[VIDA ÚTIL (MESES)]]</f>
        <v>1</v>
      </c>
      <c r="F13" s="342">
        <v>0.81</v>
      </c>
      <c r="G13" s="341">
        <f>tbUNIFORMESL[[#This Row],[VL. ANUAL]]/12</f>
        <v>6.7500000000000004E-2</v>
      </c>
      <c r="H13" s="341">
        <f>tbUNIFORMESL[[#This Row],[VL. UNITÁRIO]]*tbUNIFORMESL[[#This Row],[QUANTIDADE ANUAL]]</f>
        <v>0.81</v>
      </c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</row>
    <row r="14" spans="1:27" s="339" customFormat="1" ht="60" x14ac:dyDescent="0.25">
      <c r="A14" s="115" t="s">
        <v>1184</v>
      </c>
      <c r="B14" s="114" t="s">
        <v>1175</v>
      </c>
      <c r="C14" s="341">
        <v>1</v>
      </c>
      <c r="D14" s="342">
        <v>1</v>
      </c>
      <c r="E14" s="342">
        <f>tbUNIFORMESL[[#This Row],[QUANTIDADE MENSAL]]*12/tbUNIFORMESL[[#This Row],[VIDA ÚTIL (MESES)]]</f>
        <v>12</v>
      </c>
      <c r="F14" s="342">
        <f>4*5.11+5.57+42*1.15</f>
        <v>74.31</v>
      </c>
      <c r="G14" s="341">
        <f>tbUNIFORMESL[[#This Row],[VL. ANUAL]]/12</f>
        <v>74.31</v>
      </c>
      <c r="H14" s="341">
        <f>tbUNIFORMESL[[#This Row],[VL. UNITÁRIO]]*tbUNIFORMESL[[#This Row],[QUANTIDADE ANUAL]]</f>
        <v>891.72</v>
      </c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</row>
    <row r="15" spans="1:27" s="339" customFormat="1" x14ac:dyDescent="0.25">
      <c r="A15" s="45" t="s">
        <v>127</v>
      </c>
      <c r="B15" s="114"/>
      <c r="C15" s="114"/>
      <c r="D15" s="27"/>
      <c r="E15" s="27"/>
      <c r="F15" s="27"/>
      <c r="G15" s="116">
        <f>SUBTOTAL(109,tbUNIFORMESL[VL. MENSAL])</f>
        <v>167.72833333333332</v>
      </c>
      <c r="H15" s="116">
        <f>SUBTOTAL(109,tbUNIFORMESL[VL. ANUAL])</f>
        <v>2012.74</v>
      </c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</row>
    <row r="16" spans="1:27" s="339" customFormat="1" x14ac:dyDescent="0.25">
      <c r="A16" s="125"/>
      <c r="B16" s="117"/>
      <c r="C16" s="123"/>
      <c r="D16" s="344"/>
      <c r="E16" s="345"/>
      <c r="F16" s="124"/>
      <c r="G16" s="124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</row>
    <row r="17" spans="1:27" s="339" customFormat="1" ht="15.75" x14ac:dyDescent="0.25">
      <c r="A17" s="606" t="s">
        <v>1176</v>
      </c>
      <c r="B17" s="607"/>
      <c r="C17" s="607"/>
      <c r="D17" s="607"/>
      <c r="E17" s="608"/>
      <c r="F17" s="609" t="s">
        <v>912</v>
      </c>
      <c r="G17" s="609"/>
      <c r="H17" s="609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</row>
    <row r="18" spans="1:27" s="339" customFormat="1" x14ac:dyDescent="0.25">
      <c r="A18" s="346" t="s">
        <v>908</v>
      </c>
      <c r="B18" s="346" t="s">
        <v>55</v>
      </c>
      <c r="C18" s="347" t="s">
        <v>1105</v>
      </c>
      <c r="D18" s="347" t="s">
        <v>1122</v>
      </c>
      <c r="E18" s="347" t="s">
        <v>1106</v>
      </c>
      <c r="F18" s="347" t="s">
        <v>909</v>
      </c>
      <c r="G18" s="348" t="s">
        <v>913</v>
      </c>
      <c r="H18" s="348" t="s">
        <v>910</v>
      </c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</row>
    <row r="19" spans="1:27" s="339" customFormat="1" ht="30" x14ac:dyDescent="0.25">
      <c r="A19" s="115" t="s">
        <v>1169</v>
      </c>
      <c r="B19" s="114" t="s">
        <v>55</v>
      </c>
      <c r="C19" s="341">
        <v>1</v>
      </c>
      <c r="D19" s="342">
        <v>3</v>
      </c>
      <c r="E19" s="342">
        <f>tbUNIFORMESC[[#This Row],[QUANTIDADE MENSAL]]*12/tbUNIFORMESC[[#This Row],[VIDA ÚTIL (MESES)]]</f>
        <v>4</v>
      </c>
      <c r="F19" s="342">
        <v>63</v>
      </c>
      <c r="G19" s="341">
        <f>tbUNIFORMESC[[#This Row],[VL. ANUAL]]/12</f>
        <v>21</v>
      </c>
      <c r="H19" s="341">
        <f>tbUNIFORMESC[[#This Row],[VL. UNITÁRIO]]*tbUNIFORMESC[[#This Row],[QUANTIDADE ANUAL]]</f>
        <v>252</v>
      </c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</row>
    <row r="20" spans="1:27" s="339" customFormat="1" ht="30" x14ac:dyDescent="0.25">
      <c r="A20" s="115" t="s">
        <v>1166</v>
      </c>
      <c r="B20" s="114" t="s">
        <v>55</v>
      </c>
      <c r="C20" s="341">
        <v>1</v>
      </c>
      <c r="D20" s="342">
        <v>3</v>
      </c>
      <c r="E20" s="342">
        <f>tbUNIFORMESC[[#This Row],[QUANTIDADE MENSAL]]*12/tbUNIFORMESC[[#This Row],[VIDA ÚTIL (MESES)]]</f>
        <v>4</v>
      </c>
      <c r="F20" s="342">
        <v>29.48</v>
      </c>
      <c r="G20" s="341">
        <f>tbUNIFORMESC[[#This Row],[VL. ANUAL]]/12</f>
        <v>9.8266666666666662</v>
      </c>
      <c r="H20" s="341">
        <f>tbUNIFORMESC[[#This Row],[VL. UNITÁRIO]]*tbUNIFORMESC[[#This Row],[QUANTIDADE ANUAL]]</f>
        <v>117.92</v>
      </c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</row>
    <row r="21" spans="1:27" s="339" customFormat="1" ht="30" x14ac:dyDescent="0.25">
      <c r="A21" s="115" t="s">
        <v>1167</v>
      </c>
      <c r="B21" s="114" t="s">
        <v>55</v>
      </c>
      <c r="C21" s="341">
        <v>1</v>
      </c>
      <c r="D21" s="342">
        <v>3</v>
      </c>
      <c r="E21" s="342">
        <f>tbUNIFORMESC[[#This Row],[QUANTIDADE MENSAL]]*12/tbUNIFORMESC[[#This Row],[VIDA ÚTIL (MESES)]]</f>
        <v>4</v>
      </c>
      <c r="F21" s="342">
        <v>85.97</v>
      </c>
      <c r="G21" s="341">
        <f>tbUNIFORMESC[[#This Row],[VL. ANUAL]]/12</f>
        <v>28.656666666666666</v>
      </c>
      <c r="H21" s="341">
        <f>tbUNIFORMESC[[#This Row],[VL. UNITÁRIO]]*tbUNIFORMESC[[#This Row],[QUANTIDADE ANUAL]]</f>
        <v>343.88</v>
      </c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</row>
    <row r="22" spans="1:27" s="339" customFormat="1" x14ac:dyDescent="0.25">
      <c r="A22" s="363" t="s">
        <v>1177</v>
      </c>
      <c r="B22" s="114" t="s">
        <v>55</v>
      </c>
      <c r="C22" s="341">
        <v>1</v>
      </c>
      <c r="D22" s="342">
        <v>6</v>
      </c>
      <c r="E22" s="342">
        <f>tbUNIFORMESC[[#This Row],[QUANTIDADE MENSAL]]*12/tbUNIFORMESC[[#This Row],[VIDA ÚTIL (MESES)]]</f>
        <v>2</v>
      </c>
      <c r="F22" s="342">
        <v>38.69</v>
      </c>
      <c r="G22" s="341">
        <f>tbUNIFORMESC[[#This Row],[VL. ANUAL]]/12</f>
        <v>6.4483333333333333</v>
      </c>
      <c r="H22" s="364">
        <f>tbUNIFORMESC[[#This Row],[VL. UNITÁRIO]]*tbUNIFORMESC[[#This Row],[QUANTIDADE ANUAL]]</f>
        <v>77.38</v>
      </c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</row>
    <row r="23" spans="1:27" s="339" customFormat="1" x14ac:dyDescent="0.25">
      <c r="A23" s="363" t="s">
        <v>1178</v>
      </c>
      <c r="B23" s="114" t="s">
        <v>55</v>
      </c>
      <c r="C23" s="341">
        <v>1</v>
      </c>
      <c r="D23" s="342">
        <v>6</v>
      </c>
      <c r="E23" s="342">
        <f>tbUNIFORMESC[[#This Row],[QUANTIDADE MENSAL]]*12/tbUNIFORMESC[[#This Row],[VIDA ÚTIL (MESES)]]</f>
        <v>2</v>
      </c>
      <c r="F23" s="342">
        <v>20.149999999999999</v>
      </c>
      <c r="G23" s="341">
        <f>tbUNIFORMESC[[#This Row],[VL. ANUAL]]/12</f>
        <v>3.3583333333333329</v>
      </c>
      <c r="H23" s="364">
        <f>tbUNIFORMESC[[#This Row],[VL. UNITÁRIO]]*tbUNIFORMESC[[#This Row],[QUANTIDADE ANUAL]]</f>
        <v>40.299999999999997</v>
      </c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</row>
    <row r="24" spans="1:27" s="339" customFormat="1" ht="45" x14ac:dyDescent="0.25">
      <c r="A24" s="115" t="s">
        <v>1168</v>
      </c>
      <c r="B24" s="114" t="s">
        <v>55</v>
      </c>
      <c r="C24" s="341">
        <v>1</v>
      </c>
      <c r="D24" s="342">
        <v>12</v>
      </c>
      <c r="E24" s="342">
        <f>tbUNIFORMESC[[#This Row],[QUANTIDADE MENSAL]]*12/tbUNIFORMESC[[#This Row],[VIDA ÚTIL (MESES)]]</f>
        <v>1</v>
      </c>
      <c r="F24" s="342">
        <v>199.45</v>
      </c>
      <c r="G24" s="341">
        <f>tbUNIFORMESC[[#This Row],[VL. ANUAL]]/12</f>
        <v>16.620833333333334</v>
      </c>
      <c r="H24" s="341">
        <f>tbUNIFORMESC[[#This Row],[VL. UNITÁRIO]]*tbUNIFORMESC[[#This Row],[QUANTIDADE ANUAL]]</f>
        <v>199.45</v>
      </c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</row>
    <row r="25" spans="1:27" s="339" customFormat="1" x14ac:dyDescent="0.25">
      <c r="A25" s="115" t="s">
        <v>1170</v>
      </c>
      <c r="B25" s="114" t="s">
        <v>55</v>
      </c>
      <c r="C25" s="341">
        <v>1</v>
      </c>
      <c r="D25" s="342">
        <v>6</v>
      </c>
      <c r="E25" s="342">
        <f>tbUNIFORMESC[[#This Row],[QUANTIDADE MENSAL]]*12/tbUNIFORMESC[[#This Row],[VIDA ÚTIL (MESES)]]</f>
        <v>2</v>
      </c>
      <c r="F25" s="342">
        <v>54.19</v>
      </c>
      <c r="G25" s="341">
        <f>tbUNIFORMESC[[#This Row],[VL. ANUAL]]/12</f>
        <v>9.0316666666666663</v>
      </c>
      <c r="H25" s="341">
        <f>tbUNIFORMESC[[#This Row],[VL. UNITÁRIO]]*tbUNIFORMESC[[#This Row],[QUANTIDADE ANUAL]]</f>
        <v>108.38</v>
      </c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</row>
    <row r="26" spans="1:27" s="339" customFormat="1" x14ac:dyDescent="0.25">
      <c r="A26" s="115" t="s">
        <v>1171</v>
      </c>
      <c r="B26" s="114" t="s">
        <v>911</v>
      </c>
      <c r="C26" s="341">
        <v>4</v>
      </c>
      <c r="D26" s="342">
        <v>6</v>
      </c>
      <c r="E26" s="342">
        <f>tbUNIFORMESC[[#This Row],[QUANTIDADE MENSAL]]*12/tbUNIFORMESC[[#This Row],[VIDA ÚTIL (MESES)]]</f>
        <v>8</v>
      </c>
      <c r="F26" s="342">
        <v>8</v>
      </c>
      <c r="G26" s="341">
        <f>tbUNIFORMESC[[#This Row],[VL. ANUAL]]/12</f>
        <v>5.333333333333333</v>
      </c>
      <c r="H26" s="341">
        <f>tbUNIFORMESC[[#This Row],[VL. UNITÁRIO]]*tbUNIFORMESC[[#This Row],[QUANTIDADE ANUAL]]</f>
        <v>64</v>
      </c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</row>
    <row r="27" spans="1:27" s="339" customFormat="1" x14ac:dyDescent="0.25">
      <c r="A27" s="45" t="s">
        <v>1172</v>
      </c>
      <c r="B27" s="114" t="s">
        <v>55</v>
      </c>
      <c r="C27" s="341">
        <v>1</v>
      </c>
      <c r="D27" s="342">
        <v>12</v>
      </c>
      <c r="E27" s="342">
        <f>tbUNIFORMESC[[#This Row],[QUANTIDADE MENSAL]]*12/tbUNIFORMESC[[#This Row],[VIDA ÚTIL (MESES)]]</f>
        <v>1</v>
      </c>
      <c r="F27" s="342">
        <v>18.579999999999998</v>
      </c>
      <c r="G27" s="341">
        <f>tbUNIFORMESC[[#This Row],[VL. ANUAL]]/12</f>
        <v>1.5483333333333331</v>
      </c>
      <c r="H27" s="341">
        <f>tbUNIFORMESC[[#This Row],[VL. UNITÁRIO]]*tbUNIFORMESC[[#This Row],[QUANTIDADE ANUAL]]</f>
        <v>18.579999999999998</v>
      </c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</row>
    <row r="28" spans="1:27" s="339" customFormat="1" x14ac:dyDescent="0.25">
      <c r="A28" s="45" t="s">
        <v>1173</v>
      </c>
      <c r="B28" s="114" t="s">
        <v>55</v>
      </c>
      <c r="C28" s="341">
        <v>1</v>
      </c>
      <c r="D28" s="342">
        <v>12</v>
      </c>
      <c r="E28" s="342">
        <f>tbUNIFORMESC[[#This Row],[QUANTIDADE MENSAL]]*12/tbUNIFORMESC[[#This Row],[VIDA ÚTIL (MESES)]]</f>
        <v>1</v>
      </c>
      <c r="F28" s="342">
        <v>16</v>
      </c>
      <c r="G28" s="341">
        <f>tbUNIFORMESC[[#This Row],[VL. ANUAL]]/12</f>
        <v>1.3333333333333333</v>
      </c>
      <c r="H28" s="341">
        <f>tbUNIFORMESC[[#This Row],[VL. UNITÁRIO]]*tbUNIFORMESC[[#This Row],[QUANTIDADE ANUAL]]</f>
        <v>16</v>
      </c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</row>
    <row r="29" spans="1:27" s="339" customFormat="1" ht="30" x14ac:dyDescent="0.25">
      <c r="A29" s="115" t="s">
        <v>1174</v>
      </c>
      <c r="B29" s="114" t="s">
        <v>55</v>
      </c>
      <c r="C29" s="341">
        <v>1</v>
      </c>
      <c r="D29" s="342">
        <v>12</v>
      </c>
      <c r="E29" s="342">
        <f>tbUNIFORMESC[[#This Row],[QUANTIDADE MENSAL]]*12/tbUNIFORMESC[[#This Row],[VIDA ÚTIL (MESES)]]</f>
        <v>1</v>
      </c>
      <c r="F29" s="342">
        <v>0.81</v>
      </c>
      <c r="G29" s="341">
        <f>tbUNIFORMESC[[#This Row],[VL. ANUAL]]/12</f>
        <v>6.7500000000000004E-2</v>
      </c>
      <c r="H29" s="341">
        <f>tbUNIFORMESC[[#This Row],[VL. UNITÁRIO]]*tbUNIFORMESC[[#This Row],[QUANTIDADE ANUAL]]</f>
        <v>0.81</v>
      </c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</row>
    <row r="30" spans="1:27" s="339" customFormat="1" ht="75" x14ac:dyDescent="0.25">
      <c r="A30" s="115" t="s">
        <v>1221</v>
      </c>
      <c r="B30" s="114" t="s">
        <v>1175</v>
      </c>
      <c r="C30" s="341">
        <v>1</v>
      </c>
      <c r="D30" s="342">
        <v>1</v>
      </c>
      <c r="E30" s="342">
        <f>tbUNIFORMESC[[#This Row],[QUANTIDADE MENSAL]]*12/tbUNIFORMESC[[#This Row],[VIDA ÚTIL (MESES)]]</f>
        <v>12</v>
      </c>
      <c r="F30" s="342">
        <f>2*15.9+2*10.9+5.57+2*17.5</f>
        <v>94.17</v>
      </c>
      <c r="G30" s="341">
        <f>tbUNIFORMESC[[#This Row],[VL. ANUAL]]/12</f>
        <v>94.17</v>
      </c>
      <c r="H30" s="341">
        <f>tbUNIFORMESC[[#This Row],[VL. UNITÁRIO]]*tbUNIFORMESC[[#This Row],[QUANTIDADE ANUAL]]</f>
        <v>1130.04</v>
      </c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</row>
    <row r="31" spans="1:27" s="339" customFormat="1" x14ac:dyDescent="0.25">
      <c r="A31" s="45" t="s">
        <v>127</v>
      </c>
      <c r="B31" s="114"/>
      <c r="C31" s="114"/>
      <c r="D31" s="27"/>
      <c r="E31" s="27"/>
      <c r="F31" s="27"/>
      <c r="G31" s="116">
        <f>SUBTOTAL(109,tbUNIFORMESC[VL. MENSAL])</f>
        <v>197.39499999999998</v>
      </c>
      <c r="H31" s="116">
        <f>SUBTOTAL(109,tbUNIFORMESC[VL. ANUAL])</f>
        <v>2368.7399999999998</v>
      </c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</row>
    <row r="32" spans="1:27" s="339" customFormat="1" x14ac:dyDescent="0.25">
      <c r="A32" s="125"/>
      <c r="B32" s="117"/>
      <c r="C32" s="123"/>
      <c r="D32" s="344"/>
      <c r="E32" s="345"/>
      <c r="F32" s="124"/>
      <c r="G32" s="124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</row>
    <row r="33" spans="1:27" s="339" customFormat="1" ht="15.75" x14ac:dyDescent="0.25">
      <c r="A33" s="606" t="s">
        <v>1179</v>
      </c>
      <c r="B33" s="607"/>
      <c r="C33" s="607"/>
      <c r="D33" s="607"/>
      <c r="E33" s="608"/>
      <c r="F33" s="609" t="s">
        <v>912</v>
      </c>
      <c r="G33" s="609"/>
      <c r="H33" s="609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</row>
    <row r="34" spans="1:27" s="339" customFormat="1" x14ac:dyDescent="0.25">
      <c r="A34" s="346" t="s">
        <v>908</v>
      </c>
      <c r="B34" s="346" t="s">
        <v>55</v>
      </c>
      <c r="C34" s="347" t="s">
        <v>1105</v>
      </c>
      <c r="D34" s="347" t="s">
        <v>1122</v>
      </c>
      <c r="E34" s="347" t="s">
        <v>1106</v>
      </c>
      <c r="F34" s="347" t="s">
        <v>909</v>
      </c>
      <c r="G34" s="348" t="s">
        <v>913</v>
      </c>
      <c r="H34" s="348" t="s">
        <v>910</v>
      </c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</row>
    <row r="35" spans="1:27" s="339" customFormat="1" ht="30" x14ac:dyDescent="0.25">
      <c r="A35" s="115" t="s">
        <v>1180</v>
      </c>
      <c r="B35" s="114" t="s">
        <v>55</v>
      </c>
      <c r="C35" s="341">
        <v>1</v>
      </c>
      <c r="D35" s="342">
        <v>6</v>
      </c>
      <c r="E35" s="342">
        <f>tbUNIFORMESE[[#This Row],[QUANTIDADE MENSAL]]*12/tbUNIFORMESE[[#This Row],[VIDA ÚTIL (MESES)]]</f>
        <v>2</v>
      </c>
      <c r="F35" s="342">
        <v>63</v>
      </c>
      <c r="G35" s="341">
        <f>tbUNIFORMESE[[#This Row],[VL. ANUAL]]/12</f>
        <v>10.5</v>
      </c>
      <c r="H35" s="341">
        <f>tbUNIFORMESE[[#This Row],[VL. UNITÁRIO]]*tbUNIFORMESE[[#This Row],[QUANTIDADE ANUAL]]</f>
        <v>126</v>
      </c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</row>
    <row r="36" spans="1:27" s="339" customFormat="1" ht="30" x14ac:dyDescent="0.25">
      <c r="A36" s="115" t="s">
        <v>1181</v>
      </c>
      <c r="B36" s="114" t="s">
        <v>55</v>
      </c>
      <c r="C36" s="341">
        <v>2</v>
      </c>
      <c r="D36" s="342">
        <v>6</v>
      </c>
      <c r="E36" s="342">
        <f>tbUNIFORMESE[[#This Row],[QUANTIDADE MENSAL]]*12/tbUNIFORMESE[[#This Row],[VIDA ÚTIL (MESES)]]</f>
        <v>4</v>
      </c>
      <c r="F36" s="342">
        <v>29.48</v>
      </c>
      <c r="G36" s="341">
        <f>tbUNIFORMESE[[#This Row],[VL. ANUAL]]/12</f>
        <v>9.8266666666666662</v>
      </c>
      <c r="H36" s="341">
        <f>tbUNIFORMESE[[#This Row],[VL. UNITÁRIO]]*tbUNIFORMESE[[#This Row],[QUANTIDADE ANUAL]]</f>
        <v>117.92</v>
      </c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</row>
    <row r="37" spans="1:27" s="339" customFormat="1" ht="30" x14ac:dyDescent="0.25">
      <c r="A37" s="115" t="s">
        <v>1182</v>
      </c>
      <c r="B37" s="114" t="s">
        <v>55</v>
      </c>
      <c r="C37" s="341">
        <v>2</v>
      </c>
      <c r="D37" s="342">
        <v>6</v>
      </c>
      <c r="E37" s="342">
        <f>tbUNIFORMESE[[#This Row],[QUANTIDADE MENSAL]]*12/tbUNIFORMESE[[#This Row],[VIDA ÚTIL (MESES)]]</f>
        <v>4</v>
      </c>
      <c r="F37" s="342">
        <v>85.97</v>
      </c>
      <c r="G37" s="341">
        <f>tbUNIFORMESE[[#This Row],[VL. ANUAL]]/12</f>
        <v>28.656666666666666</v>
      </c>
      <c r="H37" s="341">
        <f>tbUNIFORMESE[[#This Row],[VL. UNITÁRIO]]*tbUNIFORMESE[[#This Row],[QUANTIDADE ANUAL]]</f>
        <v>343.88</v>
      </c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</row>
    <row r="38" spans="1:27" s="339" customFormat="1" ht="30" x14ac:dyDescent="0.25">
      <c r="A38" s="365" t="s">
        <v>1183</v>
      </c>
      <c r="B38" s="114" t="s">
        <v>55</v>
      </c>
      <c r="C38" s="341">
        <v>2</v>
      </c>
      <c r="D38" s="342">
        <v>12</v>
      </c>
      <c r="E38" s="342">
        <f>tbUNIFORMESE[[#This Row],[QUANTIDADE MENSAL]]*12/tbUNIFORMESE[[#This Row],[VIDA ÚTIL (MESES)]]</f>
        <v>2</v>
      </c>
      <c r="F38" s="342">
        <v>87.25</v>
      </c>
      <c r="G38" s="341">
        <f>tbUNIFORMESE[[#This Row],[VL. ANUAL]]/12</f>
        <v>14.541666666666666</v>
      </c>
      <c r="H38" s="364">
        <f>tbUNIFORMESE[[#This Row],[VL. UNITÁRIO]]*tbUNIFORMESE[[#This Row],[QUANTIDADE ANUAL]]</f>
        <v>174.5</v>
      </c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</row>
    <row r="39" spans="1:27" s="339" customFormat="1" ht="45" x14ac:dyDescent="0.25">
      <c r="A39" s="115" t="s">
        <v>1168</v>
      </c>
      <c r="B39" s="114" t="s">
        <v>55</v>
      </c>
      <c r="C39" s="341">
        <v>1</v>
      </c>
      <c r="D39" s="342">
        <v>12</v>
      </c>
      <c r="E39" s="342">
        <f>tbUNIFORMESE[[#This Row],[QUANTIDADE MENSAL]]*12/tbUNIFORMESE[[#This Row],[VIDA ÚTIL (MESES)]]</f>
        <v>1</v>
      </c>
      <c r="F39" s="342">
        <v>199.45</v>
      </c>
      <c r="G39" s="341">
        <f>tbUNIFORMESE[[#This Row],[VL. ANUAL]]/12</f>
        <v>16.620833333333334</v>
      </c>
      <c r="H39" s="341">
        <f>tbUNIFORMESE[[#This Row],[VL. UNITÁRIO]]*tbUNIFORMESE[[#This Row],[QUANTIDADE ANUAL]]</f>
        <v>199.45</v>
      </c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</row>
    <row r="40" spans="1:27" s="339" customFormat="1" x14ac:dyDescent="0.25">
      <c r="A40" s="115" t="s">
        <v>1170</v>
      </c>
      <c r="B40" s="114" t="s">
        <v>55</v>
      </c>
      <c r="C40" s="341">
        <v>2</v>
      </c>
      <c r="D40" s="342">
        <v>6</v>
      </c>
      <c r="E40" s="342">
        <f>tbUNIFORMESE[[#This Row],[QUANTIDADE MENSAL]]*12/tbUNIFORMESE[[#This Row],[VIDA ÚTIL (MESES)]]</f>
        <v>4</v>
      </c>
      <c r="F40" s="342">
        <v>54.19</v>
      </c>
      <c r="G40" s="341">
        <f>tbUNIFORMESE[[#This Row],[VL. ANUAL]]/12</f>
        <v>18.063333333333333</v>
      </c>
      <c r="H40" s="341">
        <f>tbUNIFORMESE[[#This Row],[VL. UNITÁRIO]]*tbUNIFORMESE[[#This Row],[QUANTIDADE ANUAL]]</f>
        <v>216.76</v>
      </c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</row>
    <row r="41" spans="1:27" s="339" customFormat="1" x14ac:dyDescent="0.25">
      <c r="A41" s="115" t="s">
        <v>1171</v>
      </c>
      <c r="B41" s="114" t="s">
        <v>911</v>
      </c>
      <c r="C41" s="341">
        <v>4</v>
      </c>
      <c r="D41" s="342">
        <v>6</v>
      </c>
      <c r="E41" s="342">
        <f>tbUNIFORMESE[[#This Row],[QUANTIDADE MENSAL]]*12/tbUNIFORMESE[[#This Row],[VIDA ÚTIL (MESES)]]</f>
        <v>8</v>
      </c>
      <c r="F41" s="342">
        <v>8</v>
      </c>
      <c r="G41" s="341">
        <f>tbUNIFORMESE[[#This Row],[VL. ANUAL]]/12</f>
        <v>5.333333333333333</v>
      </c>
      <c r="H41" s="341">
        <f>tbUNIFORMESE[[#This Row],[VL. UNITÁRIO]]*tbUNIFORMESE[[#This Row],[QUANTIDADE ANUAL]]</f>
        <v>64</v>
      </c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</row>
    <row r="42" spans="1:27" s="339" customFormat="1" x14ac:dyDescent="0.25">
      <c r="A42" s="45" t="s">
        <v>1172</v>
      </c>
      <c r="B42" s="114" t="s">
        <v>55</v>
      </c>
      <c r="C42" s="341">
        <v>1</v>
      </c>
      <c r="D42" s="342">
        <v>12</v>
      </c>
      <c r="E42" s="342">
        <f>tbUNIFORMESE[[#This Row],[QUANTIDADE MENSAL]]*12/tbUNIFORMESE[[#This Row],[VIDA ÚTIL (MESES)]]</f>
        <v>1</v>
      </c>
      <c r="F42" s="342">
        <v>18.579999999999998</v>
      </c>
      <c r="G42" s="341">
        <f>tbUNIFORMESE[[#This Row],[VL. ANUAL]]/12</f>
        <v>1.5483333333333331</v>
      </c>
      <c r="H42" s="341">
        <f>tbUNIFORMESE[[#This Row],[VL. UNITÁRIO]]*tbUNIFORMESE[[#This Row],[QUANTIDADE ANUAL]]</f>
        <v>18.579999999999998</v>
      </c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</row>
    <row r="43" spans="1:27" s="339" customFormat="1" x14ac:dyDescent="0.25">
      <c r="A43" s="45" t="s">
        <v>1173</v>
      </c>
      <c r="B43" s="114" t="s">
        <v>55</v>
      </c>
      <c r="C43" s="341">
        <v>1</v>
      </c>
      <c r="D43" s="342">
        <v>12</v>
      </c>
      <c r="E43" s="342">
        <f>tbUNIFORMESE[[#This Row],[QUANTIDADE MENSAL]]*12/tbUNIFORMESE[[#This Row],[VIDA ÚTIL (MESES)]]</f>
        <v>1</v>
      </c>
      <c r="F43" s="342">
        <v>16</v>
      </c>
      <c r="G43" s="341">
        <f>tbUNIFORMESE[[#This Row],[VL. ANUAL]]/12</f>
        <v>1.3333333333333333</v>
      </c>
      <c r="H43" s="341">
        <f>tbUNIFORMESE[[#This Row],[VL. UNITÁRIO]]*tbUNIFORMESE[[#This Row],[QUANTIDADE ANUAL]]</f>
        <v>16</v>
      </c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</row>
    <row r="44" spans="1:27" s="339" customFormat="1" ht="30" x14ac:dyDescent="0.25">
      <c r="A44" s="115" t="s">
        <v>1174</v>
      </c>
      <c r="B44" s="114" t="s">
        <v>55</v>
      </c>
      <c r="C44" s="341">
        <v>1</v>
      </c>
      <c r="D44" s="342">
        <v>12</v>
      </c>
      <c r="E44" s="342">
        <f>tbUNIFORMESE[[#This Row],[QUANTIDADE MENSAL]]*12/tbUNIFORMESE[[#This Row],[VIDA ÚTIL (MESES)]]</f>
        <v>1</v>
      </c>
      <c r="F44" s="342">
        <v>0.81</v>
      </c>
      <c r="G44" s="341">
        <f>tbUNIFORMESE[[#This Row],[VL. ANUAL]]/12</f>
        <v>6.7500000000000004E-2</v>
      </c>
      <c r="H44" s="341">
        <f>tbUNIFORMESE[[#This Row],[VL. UNITÁRIO]]*tbUNIFORMESE[[#This Row],[QUANTIDADE ANUAL]]</f>
        <v>0.81</v>
      </c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</row>
    <row r="45" spans="1:27" s="339" customFormat="1" ht="60" x14ac:dyDescent="0.25">
      <c r="A45" s="115" t="s">
        <v>1222</v>
      </c>
      <c r="B45" s="114" t="s">
        <v>1175</v>
      </c>
      <c r="C45" s="341">
        <v>1</v>
      </c>
      <c r="D45" s="342">
        <v>1</v>
      </c>
      <c r="E45" s="342">
        <f>tbUNIFORMESE[[#This Row],[QUANTIDADE MENSAL]]*12/tbUNIFORMESE[[#This Row],[VIDA ÚTIL (MESES)]]</f>
        <v>12</v>
      </c>
      <c r="F45" s="342">
        <f>2*5.11+5.57+21*1.15</f>
        <v>39.94</v>
      </c>
      <c r="G45" s="341">
        <f>tbUNIFORMESE[[#This Row],[VL. ANUAL]]/12</f>
        <v>39.94</v>
      </c>
      <c r="H45" s="341">
        <f>tbUNIFORMESE[[#This Row],[VL. UNITÁRIO]]*tbUNIFORMESE[[#This Row],[QUANTIDADE ANUAL]]</f>
        <v>479.28</v>
      </c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</row>
    <row r="46" spans="1:27" s="339" customFormat="1" x14ac:dyDescent="0.25">
      <c r="A46" s="45" t="s">
        <v>127</v>
      </c>
      <c r="B46" s="114"/>
      <c r="C46" s="114"/>
      <c r="D46" s="27"/>
      <c r="E46" s="27"/>
      <c r="F46" s="27"/>
      <c r="G46" s="116">
        <f>SUBTOTAL(109,tbUNIFORMESE[VL. MENSAL])</f>
        <v>146.43166666666664</v>
      </c>
      <c r="H46" s="116">
        <f>SUBTOTAL(109,tbUNIFORMESE[VL. ANUAL])</f>
        <v>1757.1799999999998</v>
      </c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7"/>
      <c r="AA46" s="117"/>
    </row>
    <row r="47" spans="1:27" ht="15.75" customHeight="1" x14ac:dyDescent="0.25">
      <c r="B47" s="23"/>
      <c r="C47" s="23"/>
      <c r="D47" s="23"/>
      <c r="E47" s="23"/>
      <c r="F47" s="24"/>
      <c r="G47" s="24"/>
    </row>
    <row r="48" spans="1:27" ht="15.75" customHeight="1" x14ac:dyDescent="0.25">
      <c r="B48" s="23"/>
      <c r="C48" s="23"/>
      <c r="D48" s="23"/>
      <c r="E48" s="23"/>
      <c r="F48" s="24"/>
      <c r="G48" s="24"/>
    </row>
    <row r="49" spans="2:7" ht="15.75" customHeight="1" x14ac:dyDescent="0.25">
      <c r="B49" s="23"/>
      <c r="C49" s="23"/>
      <c r="D49" s="23"/>
      <c r="E49" s="23"/>
      <c r="F49" s="24"/>
      <c r="G49" s="24"/>
    </row>
    <row r="50" spans="2:7" ht="15.75" customHeight="1" x14ac:dyDescent="0.25">
      <c r="B50" s="23"/>
      <c r="C50" s="23"/>
      <c r="D50" s="23"/>
      <c r="E50" s="23"/>
      <c r="F50" s="24"/>
      <c r="G50" s="24"/>
    </row>
    <row r="51" spans="2:7" ht="15.75" customHeight="1" x14ac:dyDescent="0.25">
      <c r="B51" s="23"/>
      <c r="C51" s="23"/>
      <c r="D51" s="23"/>
      <c r="E51" s="23"/>
      <c r="F51" s="24"/>
      <c r="G51" s="24"/>
    </row>
    <row r="52" spans="2:7" ht="15.75" customHeight="1" x14ac:dyDescent="0.25">
      <c r="B52" s="23"/>
      <c r="C52" s="23"/>
      <c r="D52" s="23"/>
      <c r="E52" s="23"/>
      <c r="F52" s="24"/>
      <c r="G52" s="24"/>
    </row>
    <row r="53" spans="2:7" ht="15.75" customHeight="1" x14ac:dyDescent="0.25">
      <c r="B53" s="23"/>
      <c r="C53" s="23"/>
      <c r="D53" s="23"/>
      <c r="E53" s="23"/>
      <c r="F53" s="24"/>
      <c r="G53" s="24"/>
    </row>
    <row r="54" spans="2:7" ht="15.75" customHeight="1" x14ac:dyDescent="0.25">
      <c r="B54" s="23"/>
      <c r="C54" s="23"/>
      <c r="D54" s="23"/>
      <c r="E54" s="23"/>
      <c r="F54" s="24"/>
      <c r="G54" s="24"/>
    </row>
    <row r="55" spans="2:7" ht="15.75" customHeight="1" x14ac:dyDescent="0.25">
      <c r="B55" s="23"/>
      <c r="C55" s="23"/>
      <c r="D55" s="23"/>
      <c r="E55" s="23"/>
      <c r="F55" s="24"/>
      <c r="G55" s="24"/>
    </row>
    <row r="56" spans="2:7" ht="15.75" customHeight="1" x14ac:dyDescent="0.25">
      <c r="B56" s="23"/>
      <c r="C56" s="23"/>
      <c r="D56" s="23"/>
      <c r="E56" s="23"/>
      <c r="F56" s="24"/>
      <c r="G56" s="24"/>
    </row>
    <row r="57" spans="2:7" ht="15.75" customHeight="1" x14ac:dyDescent="0.25">
      <c r="B57" s="23"/>
      <c r="C57" s="23"/>
      <c r="D57" s="23"/>
      <c r="E57" s="23"/>
      <c r="F57" s="24"/>
      <c r="G57" s="24"/>
    </row>
    <row r="58" spans="2:7" ht="15.75" customHeight="1" x14ac:dyDescent="0.25">
      <c r="B58" s="23"/>
      <c r="C58" s="23"/>
      <c r="D58" s="23"/>
      <c r="E58" s="23"/>
      <c r="F58" s="24"/>
      <c r="G58" s="24"/>
    </row>
    <row r="59" spans="2:7" ht="15.75" customHeight="1" x14ac:dyDescent="0.25">
      <c r="B59" s="23"/>
      <c r="C59" s="23"/>
      <c r="D59" s="23"/>
      <c r="E59" s="23"/>
      <c r="F59" s="24"/>
      <c r="G59" s="24"/>
    </row>
    <row r="60" spans="2:7" ht="15.75" customHeight="1" x14ac:dyDescent="0.25">
      <c r="B60" s="23"/>
      <c r="C60" s="23"/>
      <c r="D60" s="23"/>
      <c r="E60" s="23"/>
      <c r="F60" s="24"/>
      <c r="G60" s="24"/>
    </row>
    <row r="61" spans="2:7" ht="15.75" customHeight="1" x14ac:dyDescent="0.25">
      <c r="B61" s="23"/>
      <c r="C61" s="23"/>
      <c r="D61" s="23"/>
      <c r="E61" s="23"/>
      <c r="F61" s="24"/>
      <c r="G61" s="24"/>
    </row>
    <row r="62" spans="2:7" ht="15.75" customHeight="1" x14ac:dyDescent="0.25">
      <c r="B62" s="23"/>
      <c r="C62" s="23"/>
      <c r="D62" s="23"/>
      <c r="E62" s="23"/>
      <c r="F62" s="24"/>
      <c r="G62" s="24"/>
    </row>
    <row r="63" spans="2:7" ht="15.75" customHeight="1" x14ac:dyDescent="0.25">
      <c r="B63" s="23"/>
      <c r="C63" s="23"/>
      <c r="D63" s="23"/>
      <c r="E63" s="23"/>
      <c r="F63" s="24"/>
      <c r="G63" s="24"/>
    </row>
    <row r="64" spans="2:7" ht="15.75" customHeight="1" x14ac:dyDescent="0.25">
      <c r="B64" s="23"/>
      <c r="C64" s="23"/>
      <c r="D64" s="23"/>
      <c r="E64" s="23"/>
      <c r="F64" s="24"/>
      <c r="G64" s="24"/>
    </row>
    <row r="65" spans="2:7" ht="15.75" customHeight="1" x14ac:dyDescent="0.25">
      <c r="B65" s="23"/>
      <c r="C65" s="23"/>
      <c r="D65" s="23"/>
      <c r="E65" s="23"/>
      <c r="F65" s="24"/>
      <c r="G65" s="24"/>
    </row>
    <row r="66" spans="2:7" ht="15.75" customHeight="1" x14ac:dyDescent="0.25">
      <c r="B66" s="23"/>
      <c r="C66" s="23"/>
      <c r="D66" s="23"/>
      <c r="E66" s="23"/>
      <c r="F66" s="24"/>
      <c r="G66" s="24"/>
    </row>
    <row r="67" spans="2:7" ht="15.75" customHeight="1" x14ac:dyDescent="0.25">
      <c r="B67" s="23"/>
      <c r="C67" s="23"/>
      <c r="D67" s="23"/>
      <c r="E67" s="23"/>
      <c r="F67" s="24"/>
      <c r="G67" s="24"/>
    </row>
    <row r="68" spans="2:7" ht="15.75" customHeight="1" x14ac:dyDescent="0.25">
      <c r="B68" s="23"/>
      <c r="C68" s="23"/>
      <c r="D68" s="23"/>
      <c r="E68" s="23"/>
      <c r="F68" s="24"/>
      <c r="G68" s="24"/>
    </row>
    <row r="69" spans="2:7" ht="15.75" customHeight="1" x14ac:dyDescent="0.25">
      <c r="B69" s="23"/>
      <c r="C69" s="23"/>
      <c r="D69" s="23"/>
      <c r="E69" s="23"/>
      <c r="F69" s="24"/>
      <c r="G69" s="24"/>
    </row>
    <row r="70" spans="2:7" ht="15.75" customHeight="1" x14ac:dyDescent="0.25">
      <c r="B70" s="23"/>
      <c r="C70" s="23"/>
      <c r="D70" s="23"/>
      <c r="E70" s="23"/>
      <c r="F70" s="24"/>
      <c r="G70" s="24"/>
    </row>
    <row r="71" spans="2:7" ht="15.75" customHeight="1" x14ac:dyDescent="0.25">
      <c r="B71" s="23"/>
      <c r="C71" s="23"/>
      <c r="D71" s="23"/>
      <c r="E71" s="23"/>
      <c r="F71" s="24"/>
      <c r="G71" s="24"/>
    </row>
    <row r="72" spans="2:7" ht="15.75" customHeight="1" x14ac:dyDescent="0.25">
      <c r="B72" s="23"/>
      <c r="C72" s="23"/>
      <c r="D72" s="23"/>
      <c r="E72" s="23"/>
      <c r="F72" s="24"/>
      <c r="G72" s="24"/>
    </row>
    <row r="73" spans="2:7" ht="15.75" customHeight="1" x14ac:dyDescent="0.25">
      <c r="B73" s="23"/>
      <c r="C73" s="23"/>
      <c r="D73" s="23"/>
      <c r="E73" s="23"/>
      <c r="F73" s="24"/>
      <c r="G73" s="24"/>
    </row>
    <row r="74" spans="2:7" ht="15.75" customHeight="1" x14ac:dyDescent="0.25">
      <c r="B74" s="23"/>
      <c r="C74" s="23"/>
      <c r="D74" s="23"/>
      <c r="E74" s="23"/>
      <c r="F74" s="24"/>
      <c r="G74" s="24"/>
    </row>
    <row r="75" spans="2:7" ht="15.75" customHeight="1" x14ac:dyDescent="0.25">
      <c r="B75" s="23"/>
      <c r="C75" s="23"/>
      <c r="D75" s="23"/>
      <c r="E75" s="23"/>
      <c r="F75" s="24"/>
      <c r="G75" s="24"/>
    </row>
    <row r="76" spans="2:7" ht="15.75" customHeight="1" x14ac:dyDescent="0.25">
      <c r="B76" s="23"/>
      <c r="C76" s="23"/>
      <c r="D76" s="23"/>
      <c r="E76" s="23"/>
      <c r="F76" s="24"/>
      <c r="G76" s="24"/>
    </row>
    <row r="77" spans="2:7" ht="15.75" customHeight="1" x14ac:dyDescent="0.25">
      <c r="B77" s="23"/>
      <c r="C77" s="23"/>
      <c r="D77" s="23"/>
      <c r="E77" s="23"/>
      <c r="F77" s="24"/>
      <c r="G77" s="24"/>
    </row>
    <row r="78" spans="2:7" ht="15.75" customHeight="1" x14ac:dyDescent="0.25">
      <c r="B78" s="23"/>
      <c r="C78" s="23"/>
      <c r="D78" s="23"/>
      <c r="E78" s="23"/>
      <c r="F78" s="24"/>
      <c r="G78" s="24"/>
    </row>
    <row r="79" spans="2:7" ht="15.75" customHeight="1" x14ac:dyDescent="0.25">
      <c r="B79" s="23"/>
      <c r="C79" s="23"/>
      <c r="D79" s="23"/>
      <c r="E79" s="23"/>
      <c r="F79" s="24"/>
      <c r="G79" s="24"/>
    </row>
    <row r="80" spans="2:7" ht="15.75" customHeight="1" x14ac:dyDescent="0.25">
      <c r="B80" s="23"/>
      <c r="C80" s="23"/>
      <c r="D80" s="23"/>
      <c r="E80" s="23"/>
      <c r="F80" s="24"/>
      <c r="G80" s="24"/>
    </row>
    <row r="81" spans="2:7" ht="15.75" customHeight="1" x14ac:dyDescent="0.25">
      <c r="B81" s="23"/>
      <c r="C81" s="23"/>
      <c r="D81" s="23"/>
      <c r="E81" s="23"/>
      <c r="F81" s="24"/>
      <c r="G81" s="24"/>
    </row>
    <row r="82" spans="2:7" ht="15.75" customHeight="1" x14ac:dyDescent="0.25">
      <c r="B82" s="23"/>
      <c r="C82" s="23"/>
      <c r="D82" s="23"/>
      <c r="E82" s="23"/>
      <c r="F82" s="24"/>
      <c r="G82" s="24"/>
    </row>
    <row r="83" spans="2:7" ht="15.75" customHeight="1" x14ac:dyDescent="0.25">
      <c r="B83" s="23"/>
      <c r="C83" s="23"/>
      <c r="D83" s="23"/>
      <c r="E83" s="23"/>
      <c r="F83" s="24"/>
      <c r="G83" s="24"/>
    </row>
    <row r="84" spans="2:7" ht="15.75" customHeight="1" x14ac:dyDescent="0.25">
      <c r="B84" s="23"/>
      <c r="C84" s="23"/>
      <c r="D84" s="23"/>
      <c r="E84" s="23"/>
      <c r="F84" s="24"/>
      <c r="G84" s="24"/>
    </row>
    <row r="85" spans="2:7" ht="15.75" customHeight="1" x14ac:dyDescent="0.25">
      <c r="B85" s="23"/>
      <c r="C85" s="23"/>
      <c r="D85" s="23"/>
      <c r="E85" s="23"/>
      <c r="F85" s="24"/>
      <c r="G85" s="24"/>
    </row>
    <row r="86" spans="2:7" ht="15.75" customHeight="1" x14ac:dyDescent="0.25">
      <c r="B86" s="23"/>
      <c r="C86" s="23"/>
      <c r="D86" s="23"/>
      <c r="E86" s="23"/>
      <c r="F86" s="24"/>
      <c r="G86" s="24"/>
    </row>
    <row r="87" spans="2:7" ht="15.75" customHeight="1" x14ac:dyDescent="0.25">
      <c r="B87" s="23"/>
      <c r="C87" s="23"/>
      <c r="D87" s="23"/>
      <c r="E87" s="23"/>
      <c r="F87" s="24"/>
      <c r="G87" s="24"/>
    </row>
    <row r="88" spans="2:7" ht="15.75" customHeight="1" x14ac:dyDescent="0.25">
      <c r="B88" s="23"/>
      <c r="C88" s="23"/>
      <c r="D88" s="23"/>
      <c r="E88" s="23"/>
      <c r="F88" s="24"/>
      <c r="G88" s="24"/>
    </row>
    <row r="89" spans="2:7" ht="15.75" customHeight="1" x14ac:dyDescent="0.25">
      <c r="B89" s="23"/>
      <c r="C89" s="23"/>
      <c r="D89" s="23"/>
      <c r="E89" s="23"/>
      <c r="F89" s="24"/>
      <c r="G89" s="24"/>
    </row>
    <row r="90" spans="2:7" ht="15.75" customHeight="1" x14ac:dyDescent="0.25">
      <c r="B90" s="23"/>
      <c r="C90" s="23"/>
      <c r="D90" s="23"/>
      <c r="E90" s="23"/>
      <c r="F90" s="24"/>
      <c r="G90" s="24"/>
    </row>
    <row r="91" spans="2:7" ht="15.75" customHeight="1" x14ac:dyDescent="0.25">
      <c r="B91" s="23"/>
      <c r="C91" s="23"/>
      <c r="D91" s="23"/>
      <c r="E91" s="23"/>
      <c r="F91" s="24"/>
      <c r="G91" s="24"/>
    </row>
    <row r="92" spans="2:7" ht="15.75" customHeight="1" x14ac:dyDescent="0.25">
      <c r="B92" s="23"/>
      <c r="C92" s="23"/>
      <c r="D92" s="23"/>
      <c r="E92" s="23"/>
      <c r="F92" s="24"/>
      <c r="G92" s="24"/>
    </row>
    <row r="93" spans="2:7" ht="15.75" customHeight="1" x14ac:dyDescent="0.25">
      <c r="B93" s="23"/>
      <c r="C93" s="23"/>
      <c r="D93" s="23"/>
      <c r="E93" s="23"/>
      <c r="F93" s="24"/>
      <c r="G93" s="24"/>
    </row>
    <row r="94" spans="2:7" ht="15.75" customHeight="1" x14ac:dyDescent="0.25">
      <c r="B94" s="23"/>
      <c r="C94" s="23"/>
      <c r="D94" s="23"/>
      <c r="E94" s="23"/>
      <c r="F94" s="24"/>
      <c r="G94" s="24"/>
    </row>
    <row r="95" spans="2:7" ht="15.75" customHeight="1" x14ac:dyDescent="0.25">
      <c r="B95" s="23"/>
      <c r="C95" s="23"/>
      <c r="D95" s="23"/>
      <c r="E95" s="23"/>
      <c r="F95" s="24"/>
      <c r="G95" s="24"/>
    </row>
    <row r="96" spans="2:7" ht="15.75" customHeight="1" x14ac:dyDescent="0.25">
      <c r="B96" s="23"/>
      <c r="C96" s="23"/>
      <c r="D96" s="23"/>
      <c r="E96" s="23"/>
      <c r="F96" s="24"/>
      <c r="G96" s="24"/>
    </row>
    <row r="97" spans="2:7" ht="15.75" customHeight="1" x14ac:dyDescent="0.25">
      <c r="B97" s="23"/>
      <c r="C97" s="23"/>
      <c r="D97" s="23"/>
      <c r="E97" s="23"/>
      <c r="F97" s="24"/>
      <c r="G97" s="24"/>
    </row>
    <row r="98" spans="2:7" ht="15.75" customHeight="1" x14ac:dyDescent="0.25">
      <c r="B98" s="23"/>
      <c r="C98" s="23"/>
      <c r="D98" s="23"/>
      <c r="E98" s="23"/>
      <c r="F98" s="24"/>
      <c r="G98" s="24"/>
    </row>
    <row r="99" spans="2:7" ht="15.75" customHeight="1" x14ac:dyDescent="0.25">
      <c r="B99" s="23"/>
      <c r="C99" s="23"/>
      <c r="D99" s="23"/>
      <c r="E99" s="23"/>
      <c r="F99" s="24"/>
      <c r="G99" s="24"/>
    </row>
    <row r="100" spans="2:7" ht="15.75" customHeight="1" x14ac:dyDescent="0.25">
      <c r="B100" s="23"/>
      <c r="C100" s="23"/>
      <c r="D100" s="23"/>
      <c r="E100" s="23"/>
      <c r="F100" s="24"/>
      <c r="G100" s="24"/>
    </row>
    <row r="101" spans="2:7" ht="15.75" customHeight="1" x14ac:dyDescent="0.25">
      <c r="B101" s="23"/>
      <c r="C101" s="23"/>
      <c r="D101" s="23"/>
      <c r="E101" s="23"/>
      <c r="F101" s="24"/>
      <c r="G101" s="24"/>
    </row>
    <row r="102" spans="2:7" ht="15.75" customHeight="1" x14ac:dyDescent="0.25">
      <c r="B102" s="23"/>
      <c r="C102" s="23"/>
      <c r="D102" s="23"/>
      <c r="E102" s="23"/>
      <c r="F102" s="24"/>
      <c r="G102" s="24"/>
    </row>
    <row r="103" spans="2:7" ht="15.75" customHeight="1" x14ac:dyDescent="0.25">
      <c r="B103" s="23"/>
      <c r="C103" s="23"/>
      <c r="D103" s="23"/>
      <c r="E103" s="23"/>
      <c r="F103" s="24"/>
      <c r="G103" s="24"/>
    </row>
    <row r="104" spans="2:7" ht="15.75" customHeight="1" x14ac:dyDescent="0.25">
      <c r="B104" s="23"/>
      <c r="C104" s="23"/>
      <c r="D104" s="23"/>
      <c r="E104" s="23"/>
      <c r="F104" s="24"/>
      <c r="G104" s="24"/>
    </row>
    <row r="105" spans="2:7" ht="15.75" customHeight="1" x14ac:dyDescent="0.25">
      <c r="B105" s="23"/>
      <c r="C105" s="23"/>
      <c r="D105" s="23"/>
      <c r="E105" s="23"/>
      <c r="F105" s="24"/>
      <c r="G105" s="24"/>
    </row>
    <row r="106" spans="2:7" ht="15.75" customHeight="1" x14ac:dyDescent="0.25">
      <c r="B106" s="23"/>
      <c r="C106" s="23"/>
      <c r="D106" s="23"/>
      <c r="E106" s="23"/>
      <c r="F106" s="24"/>
      <c r="G106" s="24"/>
    </row>
    <row r="107" spans="2:7" ht="15.75" customHeight="1" x14ac:dyDescent="0.25">
      <c r="B107" s="23"/>
      <c r="C107" s="23"/>
      <c r="D107" s="23"/>
      <c r="E107" s="23"/>
      <c r="F107" s="24"/>
      <c r="G107" s="24"/>
    </row>
    <row r="108" spans="2:7" ht="15.75" customHeight="1" x14ac:dyDescent="0.25">
      <c r="B108" s="23"/>
      <c r="C108" s="23"/>
      <c r="D108" s="23"/>
      <c r="E108" s="23"/>
      <c r="F108" s="24"/>
      <c r="G108" s="24"/>
    </row>
    <row r="109" spans="2:7" ht="15.75" customHeight="1" x14ac:dyDescent="0.25">
      <c r="B109" s="23"/>
      <c r="C109" s="23"/>
      <c r="D109" s="23"/>
      <c r="E109" s="23"/>
      <c r="F109" s="24"/>
      <c r="G109" s="24"/>
    </row>
    <row r="110" spans="2:7" ht="15.75" customHeight="1" x14ac:dyDescent="0.25">
      <c r="B110" s="23"/>
      <c r="C110" s="23"/>
      <c r="D110" s="23"/>
      <c r="E110" s="23"/>
      <c r="F110" s="24"/>
      <c r="G110" s="24"/>
    </row>
    <row r="111" spans="2:7" ht="15.75" customHeight="1" x14ac:dyDescent="0.25">
      <c r="B111" s="23"/>
      <c r="C111" s="23"/>
      <c r="D111" s="23"/>
      <c r="E111" s="23"/>
      <c r="F111" s="24"/>
      <c r="G111" s="24"/>
    </row>
    <row r="112" spans="2:7" ht="15.75" customHeight="1" x14ac:dyDescent="0.25">
      <c r="B112" s="23"/>
      <c r="C112" s="23"/>
      <c r="D112" s="23"/>
      <c r="E112" s="23"/>
      <c r="F112" s="24"/>
      <c r="G112" s="24"/>
    </row>
    <row r="113" spans="2:7" ht="15.75" customHeight="1" x14ac:dyDescent="0.25">
      <c r="B113" s="23"/>
      <c r="C113" s="23"/>
      <c r="D113" s="23"/>
      <c r="E113" s="23"/>
      <c r="F113" s="24"/>
      <c r="G113" s="24"/>
    </row>
    <row r="114" spans="2:7" ht="15.75" customHeight="1" x14ac:dyDescent="0.25">
      <c r="B114" s="23"/>
      <c r="C114" s="23"/>
      <c r="D114" s="23"/>
      <c r="E114" s="23"/>
      <c r="F114" s="24"/>
      <c r="G114" s="24"/>
    </row>
    <row r="115" spans="2:7" ht="15.75" customHeight="1" x14ac:dyDescent="0.25">
      <c r="B115" s="23"/>
      <c r="C115" s="23"/>
      <c r="D115" s="23"/>
      <c r="E115" s="23"/>
      <c r="F115" s="24"/>
      <c r="G115" s="24"/>
    </row>
    <row r="116" spans="2:7" ht="15.75" customHeight="1" x14ac:dyDescent="0.25">
      <c r="B116" s="23"/>
      <c r="C116" s="23"/>
      <c r="D116" s="23"/>
      <c r="E116" s="23"/>
      <c r="F116" s="24"/>
      <c r="G116" s="24"/>
    </row>
    <row r="117" spans="2:7" ht="15.75" customHeight="1" x14ac:dyDescent="0.25">
      <c r="B117" s="23"/>
      <c r="C117" s="23"/>
      <c r="D117" s="23"/>
      <c r="E117" s="23"/>
      <c r="F117" s="24"/>
      <c r="G117" s="24"/>
    </row>
    <row r="118" spans="2:7" ht="15.75" customHeight="1" x14ac:dyDescent="0.25">
      <c r="B118" s="23"/>
      <c r="C118" s="23"/>
      <c r="D118" s="23"/>
      <c r="E118" s="23"/>
      <c r="F118" s="24"/>
      <c r="G118" s="24"/>
    </row>
    <row r="119" spans="2:7" ht="15.75" customHeight="1" x14ac:dyDescent="0.25">
      <c r="B119" s="23"/>
      <c r="C119" s="23"/>
      <c r="D119" s="23"/>
      <c r="E119" s="23"/>
      <c r="F119" s="24"/>
      <c r="G119" s="24"/>
    </row>
    <row r="120" spans="2:7" ht="15.75" customHeight="1" x14ac:dyDescent="0.25">
      <c r="B120" s="23"/>
      <c r="C120" s="23"/>
      <c r="D120" s="23"/>
      <c r="E120" s="23"/>
      <c r="F120" s="24"/>
      <c r="G120" s="24"/>
    </row>
    <row r="121" spans="2:7" ht="15.75" customHeight="1" x14ac:dyDescent="0.25">
      <c r="B121" s="23"/>
      <c r="C121" s="23"/>
      <c r="D121" s="23"/>
      <c r="E121" s="23"/>
      <c r="F121" s="24"/>
      <c r="G121" s="24"/>
    </row>
    <row r="122" spans="2:7" ht="15.75" customHeight="1" x14ac:dyDescent="0.25">
      <c r="B122" s="23"/>
      <c r="C122" s="23"/>
      <c r="D122" s="23"/>
      <c r="E122" s="23"/>
      <c r="F122" s="24"/>
      <c r="G122" s="24"/>
    </row>
    <row r="123" spans="2:7" ht="15.75" customHeight="1" x14ac:dyDescent="0.25">
      <c r="B123" s="23"/>
      <c r="C123" s="23"/>
      <c r="D123" s="23"/>
      <c r="E123" s="23"/>
      <c r="F123" s="24"/>
      <c r="G123" s="24"/>
    </row>
    <row r="124" spans="2:7" ht="15.75" customHeight="1" x14ac:dyDescent="0.25">
      <c r="B124" s="23"/>
      <c r="C124" s="23"/>
      <c r="D124" s="23"/>
      <c r="E124" s="23"/>
      <c r="F124" s="24"/>
      <c r="G124" s="24"/>
    </row>
    <row r="125" spans="2:7" ht="15.75" customHeight="1" x14ac:dyDescent="0.25">
      <c r="B125" s="23"/>
      <c r="C125" s="23"/>
      <c r="D125" s="23"/>
      <c r="E125" s="23"/>
      <c r="F125" s="24"/>
      <c r="G125" s="24"/>
    </row>
    <row r="126" spans="2:7" ht="15.75" customHeight="1" x14ac:dyDescent="0.25">
      <c r="B126" s="23"/>
      <c r="C126" s="23"/>
      <c r="D126" s="23"/>
      <c r="E126" s="23"/>
      <c r="F126" s="24"/>
      <c r="G126" s="24"/>
    </row>
    <row r="127" spans="2:7" ht="15.75" customHeight="1" x14ac:dyDescent="0.25">
      <c r="B127" s="23"/>
      <c r="C127" s="23"/>
      <c r="D127" s="23"/>
      <c r="E127" s="23"/>
      <c r="F127" s="24"/>
      <c r="G127" s="24"/>
    </row>
    <row r="128" spans="2:7" ht="15.75" customHeight="1" x14ac:dyDescent="0.25">
      <c r="B128" s="23"/>
      <c r="C128" s="23"/>
      <c r="D128" s="23"/>
      <c r="E128" s="23"/>
      <c r="F128" s="24"/>
      <c r="G128" s="24"/>
    </row>
    <row r="129" spans="2:7" ht="15.75" customHeight="1" x14ac:dyDescent="0.25">
      <c r="B129" s="23"/>
      <c r="C129" s="23"/>
      <c r="D129" s="23"/>
      <c r="E129" s="23"/>
      <c r="F129" s="24"/>
      <c r="G129" s="24"/>
    </row>
    <row r="130" spans="2:7" ht="15.75" customHeight="1" x14ac:dyDescent="0.25">
      <c r="B130" s="23"/>
      <c r="C130" s="23"/>
      <c r="D130" s="23"/>
      <c r="E130" s="23"/>
      <c r="F130" s="24"/>
      <c r="G130" s="24"/>
    </row>
    <row r="131" spans="2:7" ht="15.75" customHeight="1" x14ac:dyDescent="0.25">
      <c r="B131" s="23"/>
      <c r="C131" s="23"/>
      <c r="D131" s="23"/>
      <c r="E131" s="23"/>
      <c r="F131" s="24"/>
      <c r="G131" s="24"/>
    </row>
    <row r="132" spans="2:7" ht="15.75" customHeight="1" x14ac:dyDescent="0.25">
      <c r="B132" s="23"/>
      <c r="C132" s="23"/>
      <c r="D132" s="23"/>
      <c r="E132" s="23"/>
      <c r="F132" s="24"/>
      <c r="G132" s="24"/>
    </row>
    <row r="133" spans="2:7" ht="15.75" customHeight="1" x14ac:dyDescent="0.25">
      <c r="B133" s="23"/>
      <c r="C133" s="23"/>
      <c r="D133" s="23"/>
      <c r="E133" s="23"/>
      <c r="F133" s="24"/>
      <c r="G133" s="24"/>
    </row>
    <row r="134" spans="2:7" ht="15.75" customHeight="1" x14ac:dyDescent="0.25">
      <c r="B134" s="23"/>
      <c r="C134" s="23"/>
      <c r="D134" s="23"/>
      <c r="E134" s="23"/>
      <c r="F134" s="24"/>
      <c r="G134" s="24"/>
    </row>
    <row r="135" spans="2:7" ht="15.75" customHeight="1" x14ac:dyDescent="0.25">
      <c r="B135" s="23"/>
      <c r="C135" s="23"/>
      <c r="D135" s="23"/>
      <c r="E135" s="23"/>
      <c r="F135" s="24"/>
      <c r="G135" s="24"/>
    </row>
    <row r="136" spans="2:7" ht="15.75" customHeight="1" x14ac:dyDescent="0.25">
      <c r="B136" s="23"/>
      <c r="C136" s="23"/>
      <c r="D136" s="23"/>
      <c r="E136" s="23"/>
      <c r="F136" s="24"/>
      <c r="G136" s="24"/>
    </row>
    <row r="137" spans="2:7" ht="15.75" customHeight="1" x14ac:dyDescent="0.25">
      <c r="B137" s="23"/>
      <c r="C137" s="23"/>
      <c r="D137" s="23"/>
      <c r="E137" s="23"/>
      <c r="F137" s="24"/>
      <c r="G137" s="24"/>
    </row>
    <row r="138" spans="2:7" ht="15.75" customHeight="1" x14ac:dyDescent="0.25">
      <c r="B138" s="23"/>
      <c r="C138" s="23"/>
      <c r="D138" s="23"/>
      <c r="E138" s="23"/>
      <c r="F138" s="24"/>
      <c r="G138" s="24"/>
    </row>
    <row r="139" spans="2:7" ht="15.75" customHeight="1" x14ac:dyDescent="0.25">
      <c r="B139" s="23"/>
      <c r="C139" s="23"/>
      <c r="D139" s="23"/>
      <c r="E139" s="23"/>
      <c r="F139" s="24"/>
      <c r="G139" s="24"/>
    </row>
    <row r="140" spans="2:7" ht="15.75" customHeight="1" x14ac:dyDescent="0.25">
      <c r="B140" s="23"/>
      <c r="C140" s="23"/>
      <c r="D140" s="23"/>
      <c r="E140" s="23"/>
      <c r="F140" s="24"/>
      <c r="G140" s="24"/>
    </row>
    <row r="141" spans="2:7" ht="15.75" customHeight="1" x14ac:dyDescent="0.25">
      <c r="B141" s="23"/>
      <c r="C141" s="23"/>
      <c r="D141" s="23"/>
      <c r="E141" s="23"/>
      <c r="F141" s="24"/>
      <c r="G141" s="24"/>
    </row>
    <row r="142" spans="2:7" ht="15.75" customHeight="1" x14ac:dyDescent="0.25">
      <c r="B142" s="23"/>
      <c r="C142" s="23"/>
      <c r="D142" s="23"/>
      <c r="E142" s="23"/>
      <c r="F142" s="24"/>
      <c r="G142" s="24"/>
    </row>
    <row r="143" spans="2:7" ht="15.75" customHeight="1" x14ac:dyDescent="0.25">
      <c r="B143" s="23"/>
      <c r="C143" s="23"/>
      <c r="D143" s="23"/>
      <c r="E143" s="23"/>
      <c r="F143" s="24"/>
      <c r="G143" s="24"/>
    </row>
    <row r="144" spans="2:7" ht="15.75" customHeight="1" x14ac:dyDescent="0.25">
      <c r="B144" s="23"/>
      <c r="C144" s="23"/>
      <c r="D144" s="23"/>
      <c r="E144" s="23"/>
      <c r="F144" s="24"/>
      <c r="G144" s="24"/>
    </row>
    <row r="145" spans="2:7" ht="15.75" customHeight="1" x14ac:dyDescent="0.25">
      <c r="B145" s="23"/>
      <c r="C145" s="23"/>
      <c r="D145" s="23"/>
      <c r="E145" s="23"/>
      <c r="F145" s="24"/>
      <c r="G145" s="24"/>
    </row>
    <row r="146" spans="2:7" ht="15.75" customHeight="1" x14ac:dyDescent="0.25">
      <c r="B146" s="23"/>
      <c r="C146" s="23"/>
      <c r="D146" s="23"/>
      <c r="E146" s="23"/>
      <c r="F146" s="24"/>
      <c r="G146" s="24"/>
    </row>
    <row r="147" spans="2:7" ht="15.75" customHeight="1" x14ac:dyDescent="0.25">
      <c r="B147" s="23"/>
      <c r="C147" s="23"/>
      <c r="D147" s="23"/>
      <c r="E147" s="23"/>
      <c r="F147" s="24"/>
      <c r="G147" s="24"/>
    </row>
    <row r="148" spans="2:7" ht="15.75" customHeight="1" x14ac:dyDescent="0.25">
      <c r="B148" s="23"/>
      <c r="C148" s="23"/>
      <c r="D148" s="23"/>
      <c r="E148" s="23"/>
      <c r="F148" s="24"/>
      <c r="G148" s="24"/>
    </row>
    <row r="149" spans="2:7" ht="15.75" customHeight="1" x14ac:dyDescent="0.25">
      <c r="B149" s="23"/>
      <c r="C149" s="23"/>
      <c r="D149" s="23"/>
      <c r="E149" s="23"/>
      <c r="F149" s="24"/>
      <c r="G149" s="24"/>
    </row>
    <row r="150" spans="2:7" ht="15.75" customHeight="1" x14ac:dyDescent="0.25">
      <c r="B150" s="23"/>
      <c r="C150" s="23"/>
      <c r="D150" s="23"/>
      <c r="E150" s="23"/>
      <c r="F150" s="24"/>
      <c r="G150" s="24"/>
    </row>
    <row r="151" spans="2:7" ht="15.75" customHeight="1" x14ac:dyDescent="0.25">
      <c r="B151" s="23"/>
      <c r="C151" s="23"/>
      <c r="D151" s="23"/>
      <c r="E151" s="23"/>
      <c r="F151" s="24"/>
      <c r="G151" s="24"/>
    </row>
    <row r="152" spans="2:7" ht="15.75" customHeight="1" x14ac:dyDescent="0.25">
      <c r="B152" s="23"/>
      <c r="C152" s="23"/>
      <c r="D152" s="23"/>
      <c r="E152" s="23"/>
      <c r="F152" s="24"/>
      <c r="G152" s="24"/>
    </row>
    <row r="153" spans="2:7" ht="15.75" customHeight="1" x14ac:dyDescent="0.25">
      <c r="B153" s="23"/>
      <c r="C153" s="23"/>
      <c r="D153" s="23"/>
      <c r="E153" s="23"/>
      <c r="F153" s="24"/>
      <c r="G153" s="24"/>
    </row>
    <row r="154" spans="2:7" ht="15.75" customHeight="1" x14ac:dyDescent="0.25">
      <c r="B154" s="23"/>
      <c r="C154" s="23"/>
      <c r="D154" s="23"/>
      <c r="E154" s="23"/>
      <c r="F154" s="24"/>
      <c r="G154" s="24"/>
    </row>
    <row r="155" spans="2:7" ht="15.75" customHeight="1" x14ac:dyDescent="0.25">
      <c r="B155" s="23"/>
      <c r="C155" s="23"/>
      <c r="D155" s="23"/>
      <c r="E155" s="23"/>
      <c r="F155" s="24"/>
      <c r="G155" s="24"/>
    </row>
    <row r="156" spans="2:7" ht="15.75" customHeight="1" x14ac:dyDescent="0.25">
      <c r="B156" s="23"/>
      <c r="C156" s="23"/>
      <c r="D156" s="23"/>
      <c r="E156" s="23"/>
      <c r="F156" s="24"/>
      <c r="G156" s="24"/>
    </row>
    <row r="157" spans="2:7" ht="15.75" customHeight="1" x14ac:dyDescent="0.25">
      <c r="B157" s="23"/>
      <c r="C157" s="23"/>
      <c r="D157" s="23"/>
      <c r="E157" s="23"/>
      <c r="F157" s="24"/>
      <c r="G157" s="24"/>
    </row>
    <row r="158" spans="2:7" ht="15.75" customHeight="1" x14ac:dyDescent="0.25">
      <c r="B158" s="23"/>
      <c r="C158" s="23"/>
      <c r="D158" s="23"/>
      <c r="E158" s="23"/>
      <c r="F158" s="24"/>
      <c r="G158" s="24"/>
    </row>
    <row r="159" spans="2:7" ht="15.75" customHeight="1" x14ac:dyDescent="0.25">
      <c r="B159" s="23"/>
      <c r="C159" s="23"/>
      <c r="D159" s="23"/>
      <c r="E159" s="23"/>
      <c r="F159" s="24"/>
      <c r="G159" s="24"/>
    </row>
    <row r="160" spans="2:7" ht="15.75" customHeight="1" x14ac:dyDescent="0.25">
      <c r="B160" s="23"/>
      <c r="C160" s="23"/>
      <c r="D160" s="23"/>
      <c r="E160" s="23"/>
      <c r="F160" s="24"/>
      <c r="G160" s="24"/>
    </row>
    <row r="161" spans="2:7" ht="15.75" customHeight="1" x14ac:dyDescent="0.25">
      <c r="B161" s="23"/>
      <c r="C161" s="23"/>
      <c r="D161" s="23"/>
      <c r="E161" s="23"/>
      <c r="F161" s="24"/>
      <c r="G161" s="24"/>
    </row>
    <row r="162" spans="2:7" ht="15.75" customHeight="1" x14ac:dyDescent="0.25">
      <c r="B162" s="23"/>
      <c r="C162" s="23"/>
      <c r="D162" s="23"/>
      <c r="E162" s="23"/>
      <c r="F162" s="24"/>
      <c r="G162" s="24"/>
    </row>
    <row r="163" spans="2:7" ht="15.75" customHeight="1" x14ac:dyDescent="0.25">
      <c r="B163" s="23"/>
      <c r="C163" s="23"/>
      <c r="D163" s="23"/>
      <c r="E163" s="23"/>
      <c r="F163" s="24"/>
      <c r="G163" s="24"/>
    </row>
    <row r="164" spans="2:7" ht="15.75" customHeight="1" x14ac:dyDescent="0.25">
      <c r="B164" s="23"/>
      <c r="C164" s="23"/>
      <c r="D164" s="23"/>
      <c r="E164" s="23"/>
      <c r="F164" s="24"/>
      <c r="G164" s="24"/>
    </row>
    <row r="165" spans="2:7" ht="15.75" customHeight="1" x14ac:dyDescent="0.25">
      <c r="B165" s="23"/>
      <c r="C165" s="23"/>
      <c r="D165" s="23"/>
      <c r="E165" s="23"/>
      <c r="F165" s="24"/>
      <c r="G165" s="24"/>
    </row>
    <row r="166" spans="2:7" ht="15.75" customHeight="1" x14ac:dyDescent="0.25">
      <c r="B166" s="23"/>
      <c r="C166" s="23"/>
      <c r="D166" s="23"/>
      <c r="E166" s="23"/>
      <c r="F166" s="24"/>
      <c r="G166" s="24"/>
    </row>
    <row r="167" spans="2:7" ht="15.75" customHeight="1" x14ac:dyDescent="0.25">
      <c r="B167" s="23"/>
      <c r="C167" s="23"/>
      <c r="D167" s="23"/>
      <c r="E167" s="23"/>
      <c r="F167" s="24"/>
      <c r="G167" s="24"/>
    </row>
    <row r="168" spans="2:7" ht="15.75" customHeight="1" x14ac:dyDescent="0.25">
      <c r="B168" s="23"/>
      <c r="C168" s="23"/>
      <c r="D168" s="23"/>
      <c r="E168" s="23"/>
      <c r="F168" s="24"/>
      <c r="G168" s="24"/>
    </row>
    <row r="169" spans="2:7" ht="15.75" customHeight="1" x14ac:dyDescent="0.25">
      <c r="B169" s="23"/>
      <c r="C169" s="23"/>
      <c r="D169" s="23"/>
      <c r="E169" s="23"/>
      <c r="F169" s="24"/>
      <c r="G169" s="24"/>
    </row>
    <row r="170" spans="2:7" ht="15.75" customHeight="1" x14ac:dyDescent="0.25">
      <c r="B170" s="23"/>
      <c r="C170" s="23"/>
      <c r="D170" s="23"/>
      <c r="E170" s="23"/>
      <c r="F170" s="24"/>
      <c r="G170" s="24"/>
    </row>
    <row r="171" spans="2:7" ht="15.75" customHeight="1" x14ac:dyDescent="0.25">
      <c r="B171" s="23"/>
      <c r="C171" s="23"/>
      <c r="D171" s="23"/>
      <c r="E171" s="23"/>
      <c r="F171" s="24"/>
      <c r="G171" s="24"/>
    </row>
    <row r="172" spans="2:7" ht="15.75" customHeight="1" x14ac:dyDescent="0.25">
      <c r="B172" s="23"/>
      <c r="C172" s="23"/>
      <c r="D172" s="23"/>
      <c r="E172" s="23"/>
      <c r="F172" s="24"/>
      <c r="G172" s="24"/>
    </row>
    <row r="173" spans="2:7" ht="15.75" customHeight="1" x14ac:dyDescent="0.25">
      <c r="B173" s="23"/>
      <c r="C173" s="23"/>
      <c r="D173" s="23"/>
      <c r="E173" s="23"/>
      <c r="F173" s="24"/>
      <c r="G173" s="24"/>
    </row>
    <row r="174" spans="2:7" ht="15.75" customHeight="1" x14ac:dyDescent="0.25">
      <c r="B174" s="23"/>
      <c r="C174" s="23"/>
      <c r="D174" s="23"/>
      <c r="E174" s="23"/>
      <c r="F174" s="24"/>
      <c r="G174" s="24"/>
    </row>
    <row r="175" spans="2:7" ht="15.75" customHeight="1" x14ac:dyDescent="0.25">
      <c r="B175" s="23"/>
      <c r="C175" s="23"/>
      <c r="D175" s="23"/>
      <c r="E175" s="23"/>
      <c r="F175" s="24"/>
      <c r="G175" s="24"/>
    </row>
    <row r="176" spans="2:7" ht="15.75" customHeight="1" x14ac:dyDescent="0.25">
      <c r="B176" s="23"/>
      <c r="C176" s="23"/>
      <c r="D176" s="23"/>
      <c r="E176" s="23"/>
      <c r="F176" s="24"/>
      <c r="G176" s="24"/>
    </row>
    <row r="177" spans="2:7" ht="15.75" customHeight="1" x14ac:dyDescent="0.25">
      <c r="B177" s="23"/>
      <c r="C177" s="23"/>
      <c r="D177" s="23"/>
      <c r="E177" s="23"/>
      <c r="F177" s="24"/>
      <c r="G177" s="24"/>
    </row>
    <row r="178" spans="2:7" ht="15.75" customHeight="1" x14ac:dyDescent="0.25">
      <c r="B178" s="23"/>
      <c r="C178" s="23"/>
      <c r="D178" s="23"/>
      <c r="E178" s="23"/>
      <c r="F178" s="24"/>
      <c r="G178" s="24"/>
    </row>
    <row r="179" spans="2:7" ht="15.75" customHeight="1" x14ac:dyDescent="0.25">
      <c r="B179" s="23"/>
      <c r="C179" s="23"/>
      <c r="D179" s="23"/>
      <c r="E179" s="23"/>
      <c r="F179" s="24"/>
      <c r="G179" s="24"/>
    </row>
    <row r="180" spans="2:7" ht="15.75" customHeight="1" x14ac:dyDescent="0.25">
      <c r="B180" s="23"/>
      <c r="C180" s="23"/>
      <c r="D180" s="23"/>
      <c r="E180" s="23"/>
      <c r="F180" s="24"/>
      <c r="G180" s="24"/>
    </row>
    <row r="181" spans="2:7" ht="15.75" customHeight="1" x14ac:dyDescent="0.25">
      <c r="B181" s="23"/>
      <c r="C181" s="23"/>
      <c r="D181" s="23"/>
      <c r="E181" s="23"/>
      <c r="F181" s="24"/>
      <c r="G181" s="24"/>
    </row>
    <row r="182" spans="2:7" ht="15.75" customHeight="1" x14ac:dyDescent="0.25">
      <c r="B182" s="23"/>
      <c r="C182" s="23"/>
      <c r="D182" s="23"/>
      <c r="E182" s="23"/>
      <c r="F182" s="24"/>
      <c r="G182" s="24"/>
    </row>
    <row r="183" spans="2:7" ht="15.75" customHeight="1" x14ac:dyDescent="0.25">
      <c r="B183" s="23"/>
      <c r="C183" s="23"/>
      <c r="D183" s="23"/>
      <c r="E183" s="23"/>
      <c r="F183" s="24"/>
      <c r="G183" s="24"/>
    </row>
    <row r="184" spans="2:7" ht="15.75" customHeight="1" x14ac:dyDescent="0.25">
      <c r="B184" s="23"/>
      <c r="C184" s="23"/>
      <c r="D184" s="23"/>
      <c r="E184" s="23"/>
      <c r="F184" s="24"/>
      <c r="G184" s="24"/>
    </row>
    <row r="185" spans="2:7" ht="15.75" customHeight="1" x14ac:dyDescent="0.25">
      <c r="B185" s="23"/>
      <c r="C185" s="23"/>
      <c r="D185" s="23"/>
      <c r="E185" s="23"/>
      <c r="F185" s="24"/>
      <c r="G185" s="24"/>
    </row>
    <row r="186" spans="2:7" ht="15.75" customHeight="1" x14ac:dyDescent="0.25">
      <c r="B186" s="23"/>
      <c r="C186" s="23"/>
      <c r="D186" s="23"/>
      <c r="E186" s="23"/>
      <c r="F186" s="24"/>
      <c r="G186" s="24"/>
    </row>
    <row r="187" spans="2:7" ht="15.75" customHeight="1" x14ac:dyDescent="0.25">
      <c r="B187" s="23"/>
      <c r="C187" s="23"/>
      <c r="D187" s="23"/>
      <c r="E187" s="23"/>
      <c r="F187" s="24"/>
      <c r="G187" s="24"/>
    </row>
    <row r="188" spans="2:7" ht="15.75" customHeight="1" x14ac:dyDescent="0.25">
      <c r="B188" s="23"/>
      <c r="C188" s="23"/>
      <c r="D188" s="23"/>
      <c r="E188" s="23"/>
      <c r="F188" s="24"/>
      <c r="G188" s="24"/>
    </row>
    <row r="189" spans="2:7" ht="15.75" customHeight="1" x14ac:dyDescent="0.25">
      <c r="B189" s="23"/>
      <c r="C189" s="23"/>
      <c r="D189" s="23"/>
      <c r="E189" s="23"/>
      <c r="F189" s="24"/>
      <c r="G189" s="24"/>
    </row>
    <row r="190" spans="2:7" ht="15.75" customHeight="1" x14ac:dyDescent="0.25">
      <c r="B190" s="23"/>
      <c r="C190" s="23"/>
      <c r="D190" s="23"/>
      <c r="E190" s="23"/>
      <c r="F190" s="24"/>
      <c r="G190" s="24"/>
    </row>
    <row r="191" spans="2:7" ht="15.75" customHeight="1" x14ac:dyDescent="0.25">
      <c r="B191" s="23"/>
      <c r="C191" s="23"/>
      <c r="D191" s="23"/>
      <c r="E191" s="23"/>
      <c r="F191" s="24"/>
      <c r="G191" s="24"/>
    </row>
    <row r="192" spans="2:7" ht="15.75" customHeight="1" x14ac:dyDescent="0.25">
      <c r="B192" s="23"/>
      <c r="C192" s="23"/>
      <c r="D192" s="23"/>
      <c r="E192" s="23"/>
      <c r="F192" s="24"/>
      <c r="G192" s="24"/>
    </row>
    <row r="193" spans="2:7" ht="15.75" customHeight="1" x14ac:dyDescent="0.25">
      <c r="B193" s="23"/>
      <c r="C193" s="23"/>
      <c r="D193" s="23"/>
      <c r="E193" s="23"/>
      <c r="F193" s="24"/>
      <c r="G193" s="24"/>
    </row>
    <row r="194" spans="2:7" ht="15.75" customHeight="1" x14ac:dyDescent="0.25">
      <c r="B194" s="23"/>
      <c r="C194" s="23"/>
      <c r="D194" s="23"/>
      <c r="E194" s="23"/>
      <c r="F194" s="24"/>
      <c r="G194" s="24"/>
    </row>
    <row r="195" spans="2:7" ht="15.75" customHeight="1" x14ac:dyDescent="0.25">
      <c r="B195" s="23"/>
      <c r="C195" s="23"/>
      <c r="D195" s="23"/>
      <c r="E195" s="23"/>
      <c r="F195" s="24"/>
      <c r="G195" s="24"/>
    </row>
    <row r="196" spans="2:7" ht="15.75" customHeight="1" x14ac:dyDescent="0.25">
      <c r="B196" s="23"/>
      <c r="C196" s="23"/>
      <c r="D196" s="23"/>
      <c r="E196" s="23"/>
      <c r="F196" s="24"/>
      <c r="G196" s="24"/>
    </row>
    <row r="197" spans="2:7" ht="15.75" customHeight="1" x14ac:dyDescent="0.25">
      <c r="B197" s="23"/>
      <c r="C197" s="23"/>
      <c r="D197" s="23"/>
      <c r="E197" s="23"/>
      <c r="F197" s="24"/>
      <c r="G197" s="24"/>
    </row>
    <row r="198" spans="2:7" ht="15.75" customHeight="1" x14ac:dyDescent="0.25">
      <c r="B198" s="23"/>
      <c r="C198" s="23"/>
      <c r="D198" s="23"/>
      <c r="E198" s="23"/>
      <c r="F198" s="24"/>
      <c r="G198" s="24"/>
    </row>
    <row r="199" spans="2:7" ht="15.75" customHeight="1" x14ac:dyDescent="0.25">
      <c r="B199" s="23"/>
      <c r="C199" s="23"/>
      <c r="D199" s="23"/>
      <c r="E199" s="23"/>
      <c r="F199" s="24"/>
      <c r="G199" s="24"/>
    </row>
    <row r="200" spans="2:7" ht="15.75" customHeight="1" x14ac:dyDescent="0.25">
      <c r="B200" s="23"/>
      <c r="C200" s="23"/>
      <c r="D200" s="23"/>
      <c r="E200" s="23"/>
      <c r="F200" s="24"/>
      <c r="G200" s="24"/>
    </row>
    <row r="201" spans="2:7" ht="15.75" customHeight="1" x14ac:dyDescent="0.25">
      <c r="B201" s="23"/>
      <c r="C201" s="23"/>
      <c r="D201" s="23"/>
      <c r="E201" s="23"/>
      <c r="F201" s="24"/>
      <c r="G201" s="24"/>
    </row>
    <row r="202" spans="2:7" ht="15.75" customHeight="1" x14ac:dyDescent="0.25">
      <c r="B202" s="23"/>
      <c r="C202" s="23"/>
      <c r="D202" s="23"/>
      <c r="E202" s="23"/>
      <c r="F202" s="24"/>
      <c r="G202" s="24"/>
    </row>
    <row r="203" spans="2:7" ht="15.75" customHeight="1" x14ac:dyDescent="0.25">
      <c r="B203" s="23"/>
      <c r="C203" s="23"/>
      <c r="D203" s="23"/>
      <c r="E203" s="23"/>
      <c r="F203" s="24"/>
      <c r="G203" s="24"/>
    </row>
    <row r="204" spans="2:7" ht="15.75" customHeight="1" x14ac:dyDescent="0.25">
      <c r="B204" s="23"/>
      <c r="C204" s="23"/>
      <c r="D204" s="23"/>
      <c r="E204" s="23"/>
      <c r="F204" s="24"/>
      <c r="G204" s="24"/>
    </row>
    <row r="205" spans="2:7" ht="15.75" customHeight="1" x14ac:dyDescent="0.25">
      <c r="B205" s="23"/>
      <c r="C205" s="23"/>
      <c r="D205" s="23"/>
      <c r="E205" s="23"/>
      <c r="F205" s="24"/>
      <c r="G205" s="24"/>
    </row>
    <row r="206" spans="2:7" ht="15.75" customHeight="1" x14ac:dyDescent="0.25">
      <c r="B206" s="23"/>
      <c r="C206" s="23"/>
      <c r="D206" s="23"/>
      <c r="E206" s="23"/>
      <c r="F206" s="24"/>
      <c r="G206" s="24"/>
    </row>
    <row r="207" spans="2:7" ht="15.75" customHeight="1" x14ac:dyDescent="0.25">
      <c r="B207" s="23"/>
      <c r="C207" s="23"/>
      <c r="D207" s="23"/>
      <c r="E207" s="23"/>
      <c r="F207" s="24"/>
      <c r="G207" s="24"/>
    </row>
    <row r="208" spans="2:7" ht="15.75" customHeight="1" x14ac:dyDescent="0.25">
      <c r="B208" s="23"/>
      <c r="C208" s="23"/>
      <c r="D208" s="23"/>
      <c r="E208" s="23"/>
      <c r="F208" s="24"/>
      <c r="G208" s="24"/>
    </row>
    <row r="209" spans="2:7" ht="15.75" customHeight="1" x14ac:dyDescent="0.25">
      <c r="B209" s="23"/>
      <c r="C209" s="23"/>
      <c r="D209" s="23"/>
      <c r="E209" s="23"/>
      <c r="F209" s="24"/>
      <c r="G209" s="24"/>
    </row>
    <row r="210" spans="2:7" ht="15.75" customHeight="1" x14ac:dyDescent="0.25">
      <c r="B210" s="23"/>
      <c r="C210" s="23"/>
      <c r="D210" s="23"/>
      <c r="E210" s="23"/>
      <c r="F210" s="24"/>
      <c r="G210" s="24"/>
    </row>
    <row r="211" spans="2:7" ht="15.75" customHeight="1" x14ac:dyDescent="0.25">
      <c r="B211" s="23"/>
      <c r="C211" s="23"/>
      <c r="D211" s="23"/>
      <c r="E211" s="23"/>
      <c r="F211" s="24"/>
      <c r="G211" s="24"/>
    </row>
    <row r="212" spans="2:7" ht="15.75" customHeight="1" x14ac:dyDescent="0.25">
      <c r="B212" s="23"/>
      <c r="C212" s="23"/>
      <c r="D212" s="23"/>
      <c r="E212" s="23"/>
      <c r="F212" s="24"/>
      <c r="G212" s="24"/>
    </row>
    <row r="213" spans="2:7" ht="15.75" customHeight="1" x14ac:dyDescent="0.25">
      <c r="B213" s="23"/>
      <c r="C213" s="23"/>
      <c r="D213" s="23"/>
      <c r="E213" s="23"/>
      <c r="F213" s="24"/>
      <c r="G213" s="24"/>
    </row>
    <row r="214" spans="2:7" ht="15.75" customHeight="1" x14ac:dyDescent="0.25">
      <c r="B214" s="23"/>
      <c r="C214" s="23"/>
      <c r="D214" s="23"/>
      <c r="E214" s="23"/>
      <c r="F214" s="24"/>
      <c r="G214" s="24"/>
    </row>
    <row r="215" spans="2:7" ht="15.75" customHeight="1" x14ac:dyDescent="0.25">
      <c r="B215" s="23"/>
      <c r="C215" s="23"/>
      <c r="D215" s="23"/>
      <c r="E215" s="23"/>
      <c r="F215" s="24"/>
      <c r="G215" s="24"/>
    </row>
    <row r="216" spans="2:7" ht="15.75" customHeight="1" x14ac:dyDescent="0.25">
      <c r="B216" s="23"/>
      <c r="C216" s="23"/>
      <c r="D216" s="23"/>
      <c r="E216" s="23"/>
      <c r="F216" s="24"/>
      <c r="G216" s="24"/>
    </row>
    <row r="217" spans="2:7" ht="15.75" customHeight="1" x14ac:dyDescent="0.25">
      <c r="B217" s="23"/>
      <c r="C217" s="23"/>
      <c r="D217" s="23"/>
      <c r="E217" s="23"/>
      <c r="F217" s="24"/>
      <c r="G217" s="24"/>
    </row>
    <row r="218" spans="2:7" ht="15.75" customHeight="1" x14ac:dyDescent="0.25">
      <c r="B218" s="23"/>
      <c r="C218" s="23"/>
      <c r="D218" s="23"/>
      <c r="E218" s="23"/>
      <c r="F218" s="24"/>
      <c r="G218" s="24"/>
    </row>
    <row r="219" spans="2:7" ht="15.75" customHeight="1" x14ac:dyDescent="0.25">
      <c r="B219" s="23"/>
      <c r="C219" s="23"/>
      <c r="D219" s="23"/>
      <c r="E219" s="23"/>
      <c r="F219" s="24"/>
      <c r="G219" s="24"/>
    </row>
    <row r="220" spans="2:7" ht="15.75" customHeight="1" x14ac:dyDescent="0.25">
      <c r="B220" s="23"/>
      <c r="C220" s="23"/>
      <c r="D220" s="23"/>
      <c r="E220" s="23"/>
      <c r="F220" s="24"/>
      <c r="G220" s="24"/>
    </row>
    <row r="221" spans="2:7" ht="15.75" customHeight="1" x14ac:dyDescent="0.25">
      <c r="B221" s="23"/>
      <c r="C221" s="23"/>
      <c r="D221" s="23"/>
      <c r="E221" s="23"/>
      <c r="F221" s="24"/>
      <c r="G221" s="24"/>
    </row>
    <row r="222" spans="2:7" ht="15.75" customHeight="1" x14ac:dyDescent="0.25">
      <c r="B222" s="23"/>
      <c r="C222" s="23"/>
      <c r="D222" s="23"/>
      <c r="E222" s="23"/>
      <c r="F222" s="24"/>
      <c r="G222" s="24"/>
    </row>
    <row r="223" spans="2:7" ht="15.75" customHeight="1" x14ac:dyDescent="0.25">
      <c r="B223" s="23"/>
      <c r="C223" s="23"/>
      <c r="D223" s="23"/>
      <c r="E223" s="23"/>
      <c r="F223" s="24"/>
      <c r="G223" s="24"/>
    </row>
    <row r="224" spans="2:7" ht="15.75" customHeight="1" x14ac:dyDescent="0.25">
      <c r="B224" s="23"/>
      <c r="C224" s="23"/>
      <c r="D224" s="23"/>
      <c r="E224" s="23"/>
      <c r="F224" s="24"/>
      <c r="G224" s="24"/>
    </row>
    <row r="225" spans="2:7" ht="15.75" customHeight="1" x14ac:dyDescent="0.25">
      <c r="B225" s="23"/>
      <c r="C225" s="23"/>
      <c r="D225" s="23"/>
      <c r="E225" s="23"/>
      <c r="F225" s="24"/>
      <c r="G225" s="24"/>
    </row>
    <row r="226" spans="2:7" ht="15.75" customHeight="1" x14ac:dyDescent="0.25">
      <c r="B226" s="23"/>
      <c r="C226" s="23"/>
      <c r="D226" s="23"/>
      <c r="E226" s="23"/>
      <c r="F226" s="24"/>
      <c r="G226" s="24"/>
    </row>
    <row r="227" spans="2:7" ht="15.75" customHeight="1" x14ac:dyDescent="0.25">
      <c r="B227" s="23"/>
      <c r="C227" s="23"/>
      <c r="D227" s="23"/>
      <c r="E227" s="23"/>
      <c r="F227" s="24"/>
      <c r="G227" s="24"/>
    </row>
    <row r="228" spans="2:7" ht="15.75" customHeight="1" x14ac:dyDescent="0.25">
      <c r="B228" s="23"/>
      <c r="C228" s="23"/>
      <c r="D228" s="23"/>
      <c r="E228" s="23"/>
      <c r="F228" s="24"/>
      <c r="G228" s="24"/>
    </row>
    <row r="229" spans="2:7" ht="15.75" customHeight="1" x14ac:dyDescent="0.25">
      <c r="B229" s="23"/>
      <c r="C229" s="23"/>
      <c r="D229" s="23"/>
      <c r="E229" s="23"/>
      <c r="F229" s="24"/>
      <c r="G229" s="24"/>
    </row>
    <row r="230" spans="2:7" ht="15.75" customHeight="1" x14ac:dyDescent="0.25">
      <c r="B230" s="23"/>
      <c r="C230" s="23"/>
      <c r="D230" s="23"/>
      <c r="E230" s="23"/>
      <c r="F230" s="24"/>
      <c r="G230" s="24"/>
    </row>
    <row r="231" spans="2:7" ht="15.75" customHeight="1" x14ac:dyDescent="0.25">
      <c r="B231" s="23"/>
      <c r="C231" s="23"/>
      <c r="D231" s="23"/>
      <c r="E231" s="23"/>
      <c r="F231" s="24"/>
      <c r="G231" s="24"/>
    </row>
    <row r="232" spans="2:7" ht="15.75" customHeight="1" x14ac:dyDescent="0.25">
      <c r="B232" s="23"/>
      <c r="C232" s="23"/>
      <c r="D232" s="23"/>
      <c r="E232" s="23"/>
      <c r="F232" s="24"/>
      <c r="G232" s="24"/>
    </row>
    <row r="233" spans="2:7" ht="15.75" customHeight="1" x14ac:dyDescent="0.25">
      <c r="B233" s="23"/>
      <c r="C233" s="23"/>
      <c r="D233" s="23"/>
      <c r="E233" s="23"/>
      <c r="F233" s="24"/>
      <c r="G233" s="24"/>
    </row>
    <row r="234" spans="2:7" ht="15.75" customHeight="1" x14ac:dyDescent="0.25">
      <c r="B234" s="23"/>
      <c r="C234" s="23"/>
      <c r="D234" s="23"/>
      <c r="E234" s="23"/>
      <c r="F234" s="24"/>
      <c r="G234" s="24"/>
    </row>
    <row r="235" spans="2:7" ht="15.75" customHeight="1" x14ac:dyDescent="0.25">
      <c r="B235" s="23"/>
      <c r="C235" s="23"/>
      <c r="D235" s="23"/>
      <c r="E235" s="23"/>
      <c r="F235" s="24"/>
      <c r="G235" s="24"/>
    </row>
    <row r="236" spans="2:7" ht="15.75" customHeight="1" x14ac:dyDescent="0.25">
      <c r="B236" s="23"/>
      <c r="C236" s="23"/>
      <c r="D236" s="23"/>
      <c r="E236" s="23"/>
      <c r="F236" s="24"/>
      <c r="G236" s="24"/>
    </row>
    <row r="237" spans="2:7" ht="15.75" customHeight="1" x14ac:dyDescent="0.25">
      <c r="B237" s="23"/>
      <c r="C237" s="23"/>
      <c r="D237" s="23"/>
      <c r="E237" s="23"/>
      <c r="F237" s="24"/>
      <c r="G237" s="24"/>
    </row>
    <row r="238" spans="2:7" ht="15.75" customHeight="1" x14ac:dyDescent="0.25">
      <c r="B238" s="23"/>
      <c r="C238" s="23"/>
      <c r="D238" s="23"/>
      <c r="E238" s="23"/>
      <c r="F238" s="24"/>
      <c r="G238" s="24"/>
    </row>
    <row r="239" spans="2:7" ht="15.75" customHeight="1" x14ac:dyDescent="0.25">
      <c r="B239" s="23"/>
      <c r="C239" s="23"/>
      <c r="D239" s="23"/>
      <c r="E239" s="23"/>
      <c r="F239" s="24"/>
      <c r="G239" s="24"/>
    </row>
    <row r="240" spans="2:7" ht="15.75" customHeight="1" x14ac:dyDescent="0.25">
      <c r="B240" s="23"/>
      <c r="C240" s="23"/>
      <c r="D240" s="23"/>
      <c r="E240" s="23"/>
      <c r="F240" s="24"/>
      <c r="G240" s="24"/>
    </row>
    <row r="241" spans="2:7" ht="15.75" customHeight="1" x14ac:dyDescent="0.25">
      <c r="B241" s="23"/>
      <c r="C241" s="23"/>
      <c r="D241" s="23"/>
      <c r="E241" s="23"/>
      <c r="F241" s="24"/>
      <c r="G241" s="24"/>
    </row>
    <row r="242" spans="2:7" ht="15.75" customHeight="1" x14ac:dyDescent="0.25">
      <c r="B242" s="23"/>
      <c r="C242" s="23"/>
      <c r="D242" s="23"/>
      <c r="E242" s="23"/>
      <c r="F242" s="24"/>
      <c r="G242" s="24"/>
    </row>
    <row r="243" spans="2:7" ht="15.75" customHeight="1" x14ac:dyDescent="0.25">
      <c r="B243" s="23"/>
      <c r="C243" s="23"/>
      <c r="D243" s="23"/>
      <c r="E243" s="23"/>
      <c r="F243" s="24"/>
      <c r="G243" s="24"/>
    </row>
    <row r="244" spans="2:7" ht="15.75" customHeight="1" x14ac:dyDescent="0.25">
      <c r="B244" s="23"/>
      <c r="C244" s="23"/>
      <c r="D244" s="23"/>
      <c r="E244" s="23"/>
      <c r="F244" s="24"/>
      <c r="G244" s="24"/>
    </row>
    <row r="245" spans="2:7" ht="15.75" customHeight="1" x14ac:dyDescent="0.25">
      <c r="B245" s="23"/>
      <c r="C245" s="23"/>
      <c r="D245" s="23"/>
      <c r="E245" s="23"/>
      <c r="F245" s="24"/>
      <c r="G245" s="24"/>
    </row>
    <row r="246" spans="2:7" ht="15.75" customHeight="1" x14ac:dyDescent="0.25">
      <c r="B246" s="23"/>
      <c r="C246" s="23"/>
      <c r="D246" s="23"/>
      <c r="E246" s="23"/>
      <c r="F246" s="24"/>
      <c r="G246" s="24"/>
    </row>
    <row r="247" spans="2:7" ht="15.75" customHeight="1" x14ac:dyDescent="0.25">
      <c r="B247" s="23"/>
      <c r="C247" s="23"/>
      <c r="D247" s="23"/>
      <c r="E247" s="23"/>
      <c r="F247" s="24"/>
      <c r="G247" s="24"/>
    </row>
    <row r="248" spans="2:7" ht="15.75" customHeight="1" x14ac:dyDescent="0.25">
      <c r="B248" s="23"/>
      <c r="C248" s="23"/>
      <c r="D248" s="23"/>
      <c r="E248" s="23"/>
      <c r="F248" s="24"/>
      <c r="G248" s="24"/>
    </row>
    <row r="249" spans="2:7" ht="15.75" customHeight="1" x14ac:dyDescent="0.25">
      <c r="B249" s="23"/>
      <c r="C249" s="23"/>
      <c r="D249" s="23"/>
      <c r="E249" s="23"/>
      <c r="F249" s="24"/>
      <c r="G249" s="24"/>
    </row>
    <row r="250" spans="2:7" ht="15.75" customHeight="1" x14ac:dyDescent="0.25">
      <c r="B250" s="23"/>
      <c r="C250" s="23"/>
      <c r="D250" s="23"/>
      <c r="E250" s="23"/>
      <c r="F250" s="24"/>
      <c r="G250" s="24"/>
    </row>
    <row r="251" spans="2:7" ht="15.75" customHeight="1" x14ac:dyDescent="0.25">
      <c r="B251" s="23"/>
      <c r="C251" s="23"/>
      <c r="D251" s="23"/>
      <c r="E251" s="23"/>
      <c r="F251" s="24"/>
      <c r="G251" s="24"/>
    </row>
    <row r="252" spans="2:7" ht="15.75" customHeight="1" x14ac:dyDescent="0.25">
      <c r="B252" s="23"/>
      <c r="C252" s="23"/>
      <c r="D252" s="23"/>
      <c r="E252" s="23"/>
      <c r="F252" s="24"/>
      <c r="G252" s="24"/>
    </row>
    <row r="253" spans="2:7" ht="15.75" customHeight="1" x14ac:dyDescent="0.25">
      <c r="B253" s="23"/>
      <c r="C253" s="23"/>
      <c r="D253" s="23"/>
      <c r="E253" s="23"/>
      <c r="F253" s="24"/>
      <c r="G253" s="24"/>
    </row>
    <row r="254" spans="2:7" ht="15.75" customHeight="1" x14ac:dyDescent="0.25">
      <c r="B254" s="23"/>
      <c r="C254" s="23"/>
      <c r="D254" s="23"/>
      <c r="E254" s="23"/>
      <c r="F254" s="24"/>
      <c r="G254" s="24"/>
    </row>
    <row r="255" spans="2:7" ht="15.75" customHeight="1" x14ac:dyDescent="0.25">
      <c r="B255" s="23"/>
      <c r="C255" s="23"/>
      <c r="D255" s="23"/>
      <c r="E255" s="23"/>
      <c r="F255" s="24"/>
      <c r="G255" s="24"/>
    </row>
    <row r="256" spans="2:7" ht="15.75" customHeight="1" x14ac:dyDescent="0.25">
      <c r="B256" s="23"/>
      <c r="C256" s="23"/>
      <c r="D256" s="23"/>
      <c r="E256" s="23"/>
      <c r="F256" s="24"/>
      <c r="G256" s="24"/>
    </row>
    <row r="257" spans="2:7" ht="15.75" customHeight="1" x14ac:dyDescent="0.25">
      <c r="B257" s="23"/>
      <c r="C257" s="23"/>
      <c r="D257" s="23"/>
      <c r="E257" s="23"/>
      <c r="F257" s="24"/>
      <c r="G257" s="24"/>
    </row>
    <row r="258" spans="2:7" ht="15.75" customHeight="1" x14ac:dyDescent="0.25">
      <c r="B258" s="23"/>
      <c r="C258" s="23"/>
      <c r="D258" s="23"/>
      <c r="E258" s="23"/>
      <c r="F258" s="24"/>
      <c r="G258" s="24"/>
    </row>
    <row r="259" spans="2:7" ht="15.75" customHeight="1" x14ac:dyDescent="0.25">
      <c r="B259" s="23"/>
      <c r="C259" s="23"/>
      <c r="D259" s="23"/>
      <c r="E259" s="23"/>
      <c r="F259" s="24"/>
      <c r="G259" s="24"/>
    </row>
    <row r="260" spans="2:7" ht="15.75" customHeight="1" x14ac:dyDescent="0.25">
      <c r="B260" s="23"/>
      <c r="C260" s="23"/>
      <c r="D260" s="23"/>
      <c r="E260" s="23"/>
      <c r="F260" s="24"/>
      <c r="G260" s="24"/>
    </row>
    <row r="261" spans="2:7" ht="15.75" customHeight="1" x14ac:dyDescent="0.25">
      <c r="B261" s="23"/>
      <c r="C261" s="23"/>
      <c r="D261" s="23"/>
      <c r="E261" s="23"/>
      <c r="F261" s="24"/>
      <c r="G261" s="24"/>
    </row>
    <row r="262" spans="2:7" ht="15.75" customHeight="1" x14ac:dyDescent="0.25">
      <c r="B262" s="23"/>
      <c r="C262" s="23"/>
      <c r="D262" s="23"/>
      <c r="E262" s="23"/>
      <c r="F262" s="24"/>
      <c r="G262" s="24"/>
    </row>
    <row r="263" spans="2:7" ht="15.75" customHeight="1" x14ac:dyDescent="0.25">
      <c r="B263" s="23"/>
      <c r="C263" s="23"/>
      <c r="D263" s="23"/>
      <c r="E263" s="23"/>
      <c r="F263" s="24"/>
      <c r="G263" s="24"/>
    </row>
    <row r="264" spans="2:7" ht="15.75" customHeight="1" x14ac:dyDescent="0.25">
      <c r="B264" s="23"/>
      <c r="C264" s="23"/>
      <c r="D264" s="23"/>
      <c r="E264" s="23"/>
      <c r="F264" s="24"/>
      <c r="G264" s="24"/>
    </row>
    <row r="265" spans="2:7" ht="15.75" customHeight="1" x14ac:dyDescent="0.25">
      <c r="B265" s="23"/>
      <c r="C265" s="23"/>
      <c r="D265" s="23"/>
      <c r="E265" s="23"/>
      <c r="F265" s="24"/>
      <c r="G265" s="24"/>
    </row>
    <row r="266" spans="2:7" ht="15.75" customHeight="1" x14ac:dyDescent="0.25">
      <c r="B266" s="23"/>
      <c r="C266" s="23"/>
      <c r="D266" s="23"/>
      <c r="E266" s="23"/>
      <c r="F266" s="24"/>
      <c r="G266" s="24"/>
    </row>
    <row r="267" spans="2:7" ht="15.75" customHeight="1" x14ac:dyDescent="0.25">
      <c r="B267" s="23"/>
      <c r="C267" s="23"/>
      <c r="D267" s="23"/>
      <c r="E267" s="23"/>
      <c r="F267" s="24"/>
      <c r="G267" s="24"/>
    </row>
    <row r="268" spans="2:7" ht="15.75" customHeight="1" x14ac:dyDescent="0.25">
      <c r="B268" s="23"/>
      <c r="C268" s="23"/>
      <c r="D268" s="23"/>
      <c r="E268" s="23"/>
      <c r="F268" s="24"/>
      <c r="G268" s="24"/>
    </row>
    <row r="269" spans="2:7" ht="15.75" customHeight="1" x14ac:dyDescent="0.25">
      <c r="B269" s="23"/>
      <c r="C269" s="23"/>
      <c r="D269" s="23"/>
      <c r="E269" s="23"/>
      <c r="F269" s="24"/>
      <c r="G269" s="24"/>
    </row>
    <row r="270" spans="2:7" ht="15.75" customHeight="1" x14ac:dyDescent="0.25">
      <c r="B270" s="23"/>
      <c r="C270" s="23"/>
      <c r="D270" s="23"/>
      <c r="E270" s="23"/>
      <c r="F270" s="24"/>
      <c r="G270" s="24"/>
    </row>
    <row r="271" spans="2:7" ht="15.75" customHeight="1" x14ac:dyDescent="0.25">
      <c r="B271" s="23"/>
      <c r="C271" s="23"/>
      <c r="D271" s="23"/>
      <c r="E271" s="23"/>
      <c r="F271" s="24"/>
      <c r="G271" s="24"/>
    </row>
    <row r="272" spans="2:7" ht="15.75" customHeight="1" x14ac:dyDescent="0.25">
      <c r="B272" s="23"/>
      <c r="C272" s="23"/>
      <c r="D272" s="23"/>
      <c r="E272" s="23"/>
      <c r="F272" s="24"/>
      <c r="G272" s="24"/>
    </row>
    <row r="273" spans="2:7" ht="15.75" customHeight="1" x14ac:dyDescent="0.25">
      <c r="B273" s="23"/>
      <c r="C273" s="23"/>
      <c r="D273" s="23"/>
      <c r="E273" s="23"/>
      <c r="F273" s="24"/>
      <c r="G273" s="24"/>
    </row>
    <row r="274" spans="2:7" ht="15.75" customHeight="1" x14ac:dyDescent="0.25">
      <c r="B274" s="23"/>
      <c r="C274" s="23"/>
      <c r="D274" s="23"/>
      <c r="E274" s="23"/>
      <c r="F274" s="24"/>
      <c r="G274" s="24"/>
    </row>
    <row r="275" spans="2:7" ht="15.75" customHeight="1" x14ac:dyDescent="0.25">
      <c r="B275" s="23"/>
      <c r="C275" s="23"/>
      <c r="D275" s="23"/>
      <c r="E275" s="23"/>
      <c r="F275" s="24"/>
      <c r="G275" s="24"/>
    </row>
    <row r="276" spans="2:7" ht="15.75" customHeight="1" x14ac:dyDescent="0.25">
      <c r="B276" s="23"/>
      <c r="C276" s="23"/>
      <c r="D276" s="23"/>
      <c r="E276" s="23"/>
      <c r="F276" s="24"/>
      <c r="G276" s="24"/>
    </row>
    <row r="277" spans="2:7" ht="15.75" customHeight="1" x14ac:dyDescent="0.25">
      <c r="B277" s="23"/>
      <c r="C277" s="23"/>
      <c r="D277" s="23"/>
      <c r="E277" s="23"/>
      <c r="F277" s="24"/>
      <c r="G277" s="24"/>
    </row>
    <row r="278" spans="2:7" ht="15.75" customHeight="1" x14ac:dyDescent="0.25">
      <c r="B278" s="23"/>
      <c r="C278" s="23"/>
      <c r="D278" s="23"/>
      <c r="E278" s="23"/>
      <c r="F278" s="24"/>
      <c r="G278" s="24"/>
    </row>
    <row r="279" spans="2:7" ht="15.75" customHeight="1" x14ac:dyDescent="0.25">
      <c r="B279" s="23"/>
      <c r="C279" s="23"/>
      <c r="D279" s="23"/>
      <c r="E279" s="23"/>
      <c r="F279" s="24"/>
      <c r="G279" s="24"/>
    </row>
    <row r="280" spans="2:7" ht="15.75" customHeight="1" x14ac:dyDescent="0.25">
      <c r="B280" s="23"/>
      <c r="C280" s="23"/>
      <c r="D280" s="23"/>
      <c r="E280" s="23"/>
      <c r="F280" s="24"/>
      <c r="G280" s="24"/>
    </row>
    <row r="281" spans="2:7" ht="15.75" customHeight="1" x14ac:dyDescent="0.25">
      <c r="B281" s="23"/>
      <c r="C281" s="23"/>
      <c r="D281" s="23"/>
      <c r="E281" s="23"/>
      <c r="F281" s="24"/>
      <c r="G281" s="24"/>
    </row>
    <row r="282" spans="2:7" ht="15.75" customHeight="1" x14ac:dyDescent="0.25">
      <c r="B282" s="23"/>
      <c r="C282" s="23"/>
      <c r="D282" s="23"/>
      <c r="E282" s="23"/>
      <c r="F282" s="24"/>
      <c r="G282" s="24"/>
    </row>
    <row r="283" spans="2:7" ht="15.75" customHeight="1" x14ac:dyDescent="0.25">
      <c r="B283" s="23"/>
      <c r="C283" s="23"/>
      <c r="D283" s="23"/>
      <c r="E283" s="23"/>
      <c r="F283" s="24"/>
      <c r="G283" s="24"/>
    </row>
    <row r="284" spans="2:7" ht="15.75" customHeight="1" x14ac:dyDescent="0.25">
      <c r="B284" s="23"/>
      <c r="C284" s="23"/>
      <c r="D284" s="23"/>
      <c r="E284" s="23"/>
      <c r="F284" s="24"/>
      <c r="G284" s="24"/>
    </row>
    <row r="285" spans="2:7" ht="15.75" customHeight="1" x14ac:dyDescent="0.25">
      <c r="B285" s="23"/>
      <c r="C285" s="23"/>
      <c r="D285" s="23"/>
      <c r="E285" s="23"/>
      <c r="F285" s="24"/>
      <c r="G285" s="24"/>
    </row>
    <row r="286" spans="2:7" ht="15.75" customHeight="1" x14ac:dyDescent="0.25">
      <c r="B286" s="23"/>
      <c r="C286" s="23"/>
      <c r="D286" s="23"/>
      <c r="E286" s="23"/>
      <c r="F286" s="24"/>
      <c r="G286" s="24"/>
    </row>
    <row r="287" spans="2:7" ht="15.75" customHeight="1" x14ac:dyDescent="0.25">
      <c r="B287" s="23"/>
      <c r="C287" s="23"/>
      <c r="D287" s="23"/>
      <c r="E287" s="23"/>
      <c r="F287" s="24"/>
      <c r="G287" s="24"/>
    </row>
    <row r="288" spans="2:7" ht="15.75" customHeight="1" x14ac:dyDescent="0.25">
      <c r="B288" s="23"/>
      <c r="C288" s="23"/>
      <c r="D288" s="23"/>
      <c r="E288" s="23"/>
      <c r="F288" s="24"/>
      <c r="G288" s="24"/>
    </row>
    <row r="289" spans="2:7" ht="15.75" customHeight="1" x14ac:dyDescent="0.25">
      <c r="B289" s="23"/>
      <c r="C289" s="23"/>
      <c r="D289" s="23"/>
      <c r="E289" s="23"/>
      <c r="F289" s="24"/>
      <c r="G289" s="24"/>
    </row>
    <row r="290" spans="2:7" ht="15.75" customHeight="1" x14ac:dyDescent="0.25">
      <c r="B290" s="23"/>
      <c r="C290" s="23"/>
      <c r="D290" s="23"/>
      <c r="E290" s="23"/>
      <c r="F290" s="24"/>
      <c r="G290" s="24"/>
    </row>
    <row r="291" spans="2:7" ht="15.75" customHeight="1" x14ac:dyDescent="0.25">
      <c r="B291" s="23"/>
      <c r="C291" s="23"/>
      <c r="D291" s="23"/>
      <c r="E291" s="23"/>
      <c r="F291" s="24"/>
      <c r="G291" s="24"/>
    </row>
    <row r="292" spans="2:7" ht="15.75" customHeight="1" x14ac:dyDescent="0.25">
      <c r="B292" s="23"/>
      <c r="C292" s="23"/>
      <c r="D292" s="23"/>
      <c r="E292" s="23"/>
      <c r="F292" s="24"/>
      <c r="G292" s="24"/>
    </row>
    <row r="293" spans="2:7" ht="15.75" customHeight="1" x14ac:dyDescent="0.25">
      <c r="B293" s="23"/>
      <c r="C293" s="23"/>
      <c r="D293" s="23"/>
      <c r="E293" s="23"/>
      <c r="F293" s="24"/>
      <c r="G293" s="24"/>
    </row>
    <row r="294" spans="2:7" ht="15.75" customHeight="1" x14ac:dyDescent="0.25">
      <c r="B294" s="23"/>
      <c r="C294" s="23"/>
      <c r="D294" s="23"/>
      <c r="E294" s="23"/>
      <c r="F294" s="24"/>
      <c r="G294" s="24"/>
    </row>
    <row r="295" spans="2:7" ht="15.75" customHeight="1" x14ac:dyDescent="0.25">
      <c r="B295" s="23"/>
      <c r="C295" s="23"/>
      <c r="D295" s="23"/>
      <c r="E295" s="23"/>
      <c r="F295" s="24"/>
      <c r="G295" s="24"/>
    </row>
    <row r="296" spans="2:7" ht="15.75" customHeight="1" x14ac:dyDescent="0.25">
      <c r="B296" s="23"/>
      <c r="C296" s="23"/>
      <c r="D296" s="23"/>
      <c r="E296" s="23"/>
      <c r="F296" s="24"/>
      <c r="G296" s="24"/>
    </row>
    <row r="297" spans="2:7" ht="15.75" customHeight="1" x14ac:dyDescent="0.25">
      <c r="B297" s="23"/>
      <c r="C297" s="23"/>
      <c r="D297" s="23"/>
      <c r="E297" s="23"/>
      <c r="F297" s="24"/>
      <c r="G297" s="24"/>
    </row>
    <row r="298" spans="2:7" ht="15.75" customHeight="1" x14ac:dyDescent="0.25">
      <c r="B298" s="23"/>
      <c r="C298" s="23"/>
      <c r="D298" s="23"/>
      <c r="E298" s="23"/>
      <c r="F298" s="24"/>
      <c r="G298" s="24"/>
    </row>
    <row r="299" spans="2:7" ht="15.75" customHeight="1" x14ac:dyDescent="0.25">
      <c r="B299" s="23"/>
      <c r="C299" s="23"/>
      <c r="D299" s="23"/>
      <c r="E299" s="23"/>
      <c r="F299" s="24"/>
      <c r="G299" s="24"/>
    </row>
    <row r="300" spans="2:7" ht="15.75" customHeight="1" x14ac:dyDescent="0.25">
      <c r="B300" s="23"/>
      <c r="C300" s="23"/>
      <c r="D300" s="23"/>
      <c r="E300" s="23"/>
      <c r="F300" s="24"/>
      <c r="G300" s="24"/>
    </row>
    <row r="301" spans="2:7" ht="15.75" customHeight="1" x14ac:dyDescent="0.25">
      <c r="B301" s="23"/>
      <c r="C301" s="23"/>
      <c r="D301" s="23"/>
      <c r="E301" s="23"/>
      <c r="F301" s="24"/>
      <c r="G301" s="24"/>
    </row>
    <row r="302" spans="2:7" ht="15.75" customHeight="1" x14ac:dyDescent="0.25">
      <c r="B302" s="23"/>
      <c r="C302" s="23"/>
      <c r="D302" s="23"/>
      <c r="E302" s="23"/>
      <c r="F302" s="24"/>
      <c r="G302" s="24"/>
    </row>
    <row r="303" spans="2:7" ht="15.75" customHeight="1" x14ac:dyDescent="0.25">
      <c r="B303" s="23"/>
      <c r="C303" s="23"/>
      <c r="D303" s="23"/>
      <c r="E303" s="23"/>
      <c r="F303" s="24"/>
      <c r="G303" s="24"/>
    </row>
    <row r="304" spans="2:7" ht="15.75" customHeight="1" x14ac:dyDescent="0.25">
      <c r="B304" s="23"/>
      <c r="C304" s="23"/>
      <c r="D304" s="23"/>
      <c r="E304" s="23"/>
      <c r="F304" s="24"/>
      <c r="G304" s="24"/>
    </row>
    <row r="305" spans="2:7" ht="15.75" customHeight="1" x14ac:dyDescent="0.25">
      <c r="B305" s="23"/>
      <c r="C305" s="23"/>
      <c r="D305" s="23"/>
      <c r="E305" s="23"/>
      <c r="F305" s="24"/>
      <c r="G305" s="24"/>
    </row>
    <row r="306" spans="2:7" ht="15.75" customHeight="1" x14ac:dyDescent="0.25">
      <c r="B306" s="23"/>
      <c r="C306" s="23"/>
      <c r="D306" s="23"/>
      <c r="E306" s="23"/>
      <c r="F306" s="24"/>
      <c r="G306" s="24"/>
    </row>
    <row r="307" spans="2:7" ht="15.75" customHeight="1" x14ac:dyDescent="0.25">
      <c r="B307" s="23"/>
      <c r="C307" s="23"/>
      <c r="D307" s="23"/>
      <c r="E307" s="23"/>
      <c r="F307" s="24"/>
      <c r="G307" s="24"/>
    </row>
    <row r="308" spans="2:7" ht="15.75" customHeight="1" x14ac:dyDescent="0.25">
      <c r="B308" s="23"/>
      <c r="C308" s="23"/>
      <c r="D308" s="23"/>
      <c r="E308" s="23"/>
      <c r="F308" s="24"/>
      <c r="G308" s="24"/>
    </row>
    <row r="309" spans="2:7" ht="15.75" customHeight="1" x14ac:dyDescent="0.25">
      <c r="B309" s="23"/>
      <c r="C309" s="23"/>
      <c r="D309" s="23"/>
      <c r="E309" s="23"/>
      <c r="F309" s="24"/>
      <c r="G309" s="24"/>
    </row>
    <row r="310" spans="2:7" ht="15.75" customHeight="1" x14ac:dyDescent="0.25">
      <c r="B310" s="23"/>
      <c r="C310" s="23"/>
      <c r="D310" s="23"/>
      <c r="E310" s="23"/>
      <c r="F310" s="24"/>
      <c r="G310" s="24"/>
    </row>
    <row r="311" spans="2:7" ht="15.75" customHeight="1" x14ac:dyDescent="0.25">
      <c r="B311" s="23"/>
      <c r="C311" s="23"/>
      <c r="D311" s="23"/>
      <c r="E311" s="23"/>
      <c r="F311" s="24"/>
      <c r="G311" s="24"/>
    </row>
    <row r="312" spans="2:7" ht="15.75" customHeight="1" x14ac:dyDescent="0.25">
      <c r="B312" s="23"/>
      <c r="C312" s="23"/>
      <c r="D312" s="23"/>
      <c r="E312" s="23"/>
      <c r="F312" s="24"/>
      <c r="G312" s="24"/>
    </row>
    <row r="313" spans="2:7" ht="15.75" customHeight="1" x14ac:dyDescent="0.25">
      <c r="B313" s="23"/>
      <c r="C313" s="23"/>
      <c r="D313" s="23"/>
      <c r="E313" s="23"/>
      <c r="F313" s="24"/>
      <c r="G313" s="24"/>
    </row>
    <row r="314" spans="2:7" ht="15.75" customHeight="1" x14ac:dyDescent="0.25">
      <c r="B314" s="23"/>
      <c r="C314" s="23"/>
      <c r="D314" s="23"/>
      <c r="E314" s="23"/>
      <c r="F314" s="24"/>
      <c r="G314" s="24"/>
    </row>
    <row r="315" spans="2:7" ht="15.75" customHeight="1" x14ac:dyDescent="0.25">
      <c r="B315" s="23"/>
      <c r="C315" s="23"/>
      <c r="D315" s="23"/>
      <c r="E315" s="23"/>
      <c r="F315" s="24"/>
      <c r="G315" s="24"/>
    </row>
    <row r="316" spans="2:7" ht="15.75" customHeight="1" x14ac:dyDescent="0.25">
      <c r="B316" s="23"/>
      <c r="C316" s="23"/>
      <c r="D316" s="23"/>
      <c r="E316" s="23"/>
      <c r="F316" s="24"/>
      <c r="G316" s="24"/>
    </row>
    <row r="317" spans="2:7" ht="15.75" customHeight="1" x14ac:dyDescent="0.25">
      <c r="B317" s="23"/>
      <c r="C317" s="23"/>
      <c r="D317" s="23"/>
      <c r="E317" s="23"/>
      <c r="F317" s="24"/>
      <c r="G317" s="24"/>
    </row>
    <row r="318" spans="2:7" ht="15.75" customHeight="1" x14ac:dyDescent="0.25">
      <c r="B318" s="23"/>
      <c r="C318" s="23"/>
      <c r="D318" s="23"/>
      <c r="E318" s="23"/>
      <c r="F318" s="24"/>
      <c r="G318" s="24"/>
    </row>
    <row r="319" spans="2:7" ht="15.75" customHeight="1" x14ac:dyDescent="0.25">
      <c r="B319" s="23"/>
      <c r="C319" s="23"/>
      <c r="D319" s="23"/>
      <c r="E319" s="23"/>
      <c r="F319" s="24"/>
      <c r="G319" s="24"/>
    </row>
    <row r="320" spans="2:7" ht="15.75" customHeight="1" x14ac:dyDescent="0.25">
      <c r="B320" s="23"/>
      <c r="C320" s="23"/>
      <c r="D320" s="23"/>
      <c r="E320" s="23"/>
      <c r="F320" s="24"/>
      <c r="G320" s="24"/>
    </row>
    <row r="321" spans="2:7" ht="15.75" customHeight="1" x14ac:dyDescent="0.25">
      <c r="B321" s="23"/>
      <c r="C321" s="23"/>
      <c r="D321" s="23"/>
      <c r="E321" s="23"/>
      <c r="F321" s="24"/>
      <c r="G321" s="24"/>
    </row>
    <row r="322" spans="2:7" ht="15.75" customHeight="1" x14ac:dyDescent="0.25">
      <c r="B322" s="23"/>
      <c r="C322" s="23"/>
      <c r="D322" s="23"/>
      <c r="E322" s="23"/>
      <c r="F322" s="24"/>
      <c r="G322" s="24"/>
    </row>
    <row r="323" spans="2:7" ht="15.75" customHeight="1" x14ac:dyDescent="0.25">
      <c r="B323" s="23"/>
      <c r="C323" s="23"/>
      <c r="D323" s="23"/>
      <c r="E323" s="23"/>
      <c r="F323" s="24"/>
      <c r="G323" s="24"/>
    </row>
    <row r="324" spans="2:7" ht="15.75" customHeight="1" x14ac:dyDescent="0.25">
      <c r="B324" s="23"/>
      <c r="C324" s="23"/>
      <c r="D324" s="23"/>
      <c r="E324" s="23"/>
      <c r="F324" s="24"/>
      <c r="G324" s="24"/>
    </row>
    <row r="325" spans="2:7" ht="15.75" customHeight="1" x14ac:dyDescent="0.25">
      <c r="B325" s="23"/>
      <c r="C325" s="23"/>
      <c r="D325" s="23"/>
      <c r="E325" s="23"/>
      <c r="F325" s="24"/>
      <c r="G325" s="24"/>
    </row>
    <row r="326" spans="2:7" ht="15.75" customHeight="1" x14ac:dyDescent="0.25">
      <c r="B326" s="23"/>
      <c r="C326" s="23"/>
      <c r="D326" s="23"/>
      <c r="E326" s="23"/>
      <c r="F326" s="24"/>
      <c r="G326" s="24"/>
    </row>
    <row r="327" spans="2:7" ht="15.75" customHeight="1" x14ac:dyDescent="0.25">
      <c r="B327" s="23"/>
      <c r="C327" s="23"/>
      <c r="D327" s="23"/>
      <c r="E327" s="23"/>
      <c r="F327" s="24"/>
      <c r="G327" s="24"/>
    </row>
    <row r="328" spans="2:7" ht="15.75" customHeight="1" x14ac:dyDescent="0.25">
      <c r="B328" s="23"/>
      <c r="C328" s="23"/>
      <c r="D328" s="23"/>
      <c r="E328" s="23"/>
      <c r="F328" s="24"/>
      <c r="G328" s="24"/>
    </row>
    <row r="329" spans="2:7" ht="15.75" customHeight="1" x14ac:dyDescent="0.25">
      <c r="B329" s="23"/>
      <c r="C329" s="23"/>
      <c r="D329" s="23"/>
      <c r="E329" s="23"/>
      <c r="F329" s="24"/>
      <c r="G329" s="24"/>
    </row>
    <row r="330" spans="2:7" ht="15.75" customHeight="1" x14ac:dyDescent="0.25">
      <c r="B330" s="23"/>
      <c r="C330" s="23"/>
      <c r="D330" s="23"/>
      <c r="E330" s="23"/>
      <c r="F330" s="24"/>
      <c r="G330" s="24"/>
    </row>
    <row r="331" spans="2:7" ht="15.75" customHeight="1" x14ac:dyDescent="0.25">
      <c r="B331" s="23"/>
      <c r="C331" s="23"/>
      <c r="D331" s="23"/>
      <c r="E331" s="23"/>
      <c r="F331" s="24"/>
      <c r="G331" s="24"/>
    </row>
    <row r="332" spans="2:7" ht="15.75" customHeight="1" x14ac:dyDescent="0.25">
      <c r="B332" s="23"/>
      <c r="C332" s="23"/>
      <c r="D332" s="23"/>
      <c r="E332" s="23"/>
      <c r="F332" s="24"/>
      <c r="G332" s="24"/>
    </row>
    <row r="333" spans="2:7" ht="15.75" customHeight="1" x14ac:dyDescent="0.25">
      <c r="B333" s="23"/>
      <c r="C333" s="23"/>
      <c r="D333" s="23"/>
      <c r="E333" s="23"/>
      <c r="F333" s="24"/>
      <c r="G333" s="24"/>
    </row>
    <row r="334" spans="2:7" ht="15.75" customHeight="1" x14ac:dyDescent="0.25">
      <c r="B334" s="23"/>
      <c r="C334" s="23"/>
      <c r="D334" s="23"/>
      <c r="E334" s="23"/>
      <c r="F334" s="24"/>
      <c r="G334" s="24"/>
    </row>
    <row r="335" spans="2:7" ht="15.75" customHeight="1" x14ac:dyDescent="0.25">
      <c r="B335" s="23"/>
      <c r="C335" s="23"/>
      <c r="D335" s="23"/>
      <c r="E335" s="23"/>
      <c r="F335" s="24"/>
      <c r="G335" s="24"/>
    </row>
    <row r="336" spans="2:7" ht="15.75" customHeight="1" x14ac:dyDescent="0.25">
      <c r="B336" s="23"/>
      <c r="C336" s="23"/>
      <c r="D336" s="23"/>
      <c r="E336" s="23"/>
      <c r="F336" s="24"/>
      <c r="G336" s="24"/>
    </row>
    <row r="337" spans="2:7" ht="15.75" customHeight="1" x14ac:dyDescent="0.25">
      <c r="B337" s="23"/>
      <c r="C337" s="23"/>
      <c r="D337" s="23"/>
      <c r="E337" s="23"/>
      <c r="F337" s="24"/>
      <c r="G337" s="24"/>
    </row>
    <row r="338" spans="2:7" ht="15.75" customHeight="1" x14ac:dyDescent="0.25">
      <c r="B338" s="23"/>
      <c r="C338" s="23"/>
      <c r="D338" s="23"/>
      <c r="E338" s="23"/>
      <c r="F338" s="24"/>
      <c r="G338" s="24"/>
    </row>
    <row r="339" spans="2:7" ht="15.75" customHeight="1" x14ac:dyDescent="0.25">
      <c r="B339" s="23"/>
      <c r="C339" s="23"/>
      <c r="D339" s="23"/>
      <c r="E339" s="23"/>
      <c r="F339" s="24"/>
      <c r="G339" s="24"/>
    </row>
    <row r="340" spans="2:7" ht="15.75" customHeight="1" x14ac:dyDescent="0.25">
      <c r="B340" s="23"/>
      <c r="C340" s="23"/>
      <c r="D340" s="23"/>
      <c r="E340" s="23"/>
      <c r="F340" s="24"/>
      <c r="G340" s="24"/>
    </row>
    <row r="341" spans="2:7" ht="15.75" customHeight="1" x14ac:dyDescent="0.25">
      <c r="B341" s="23"/>
      <c r="C341" s="23"/>
      <c r="D341" s="23"/>
      <c r="E341" s="23"/>
      <c r="F341" s="24"/>
      <c r="G341" s="24"/>
    </row>
    <row r="342" spans="2:7" ht="15.75" customHeight="1" x14ac:dyDescent="0.25">
      <c r="B342" s="23"/>
      <c r="C342" s="23"/>
      <c r="D342" s="23"/>
      <c r="E342" s="23"/>
      <c r="F342" s="24"/>
      <c r="G342" s="24"/>
    </row>
    <row r="343" spans="2:7" ht="15.75" customHeight="1" x14ac:dyDescent="0.25">
      <c r="B343" s="23"/>
      <c r="C343" s="23"/>
      <c r="D343" s="23"/>
      <c r="E343" s="23"/>
      <c r="F343" s="24"/>
      <c r="G343" s="24"/>
    </row>
    <row r="344" spans="2:7" ht="15.75" customHeight="1" x14ac:dyDescent="0.25">
      <c r="B344" s="23"/>
      <c r="C344" s="23"/>
      <c r="D344" s="23"/>
      <c r="E344" s="23"/>
      <c r="F344" s="24"/>
      <c r="G344" s="24"/>
    </row>
    <row r="345" spans="2:7" ht="15.75" customHeight="1" x14ac:dyDescent="0.25">
      <c r="B345" s="23"/>
      <c r="C345" s="23"/>
      <c r="D345" s="23"/>
      <c r="E345" s="23"/>
      <c r="F345" s="24"/>
      <c r="G345" s="24"/>
    </row>
    <row r="346" spans="2:7" ht="15.75" customHeight="1" x14ac:dyDescent="0.25">
      <c r="B346" s="23"/>
      <c r="C346" s="23"/>
      <c r="D346" s="23"/>
      <c r="E346" s="23"/>
      <c r="F346" s="24"/>
      <c r="G346" s="24"/>
    </row>
    <row r="347" spans="2:7" ht="15.75" customHeight="1" x14ac:dyDescent="0.25">
      <c r="B347" s="23"/>
      <c r="C347" s="23"/>
      <c r="D347" s="23"/>
      <c r="E347" s="23"/>
      <c r="F347" s="24"/>
      <c r="G347" s="24"/>
    </row>
    <row r="348" spans="2:7" ht="15.75" customHeight="1" x14ac:dyDescent="0.25">
      <c r="B348" s="23"/>
      <c r="C348" s="23"/>
      <c r="D348" s="23"/>
      <c r="E348" s="23"/>
      <c r="F348" s="24"/>
      <c r="G348" s="24"/>
    </row>
    <row r="349" spans="2:7" ht="15.75" customHeight="1" x14ac:dyDescent="0.25">
      <c r="B349" s="23"/>
      <c r="C349" s="23"/>
      <c r="D349" s="23"/>
      <c r="E349" s="23"/>
      <c r="F349" s="24"/>
      <c r="G349" s="24"/>
    </row>
    <row r="350" spans="2:7" ht="15.75" customHeight="1" x14ac:dyDescent="0.25">
      <c r="B350" s="23"/>
      <c r="C350" s="23"/>
      <c r="D350" s="23"/>
      <c r="E350" s="23"/>
      <c r="F350" s="24"/>
      <c r="G350" s="24"/>
    </row>
    <row r="351" spans="2:7" ht="15.75" customHeight="1" x14ac:dyDescent="0.25">
      <c r="B351" s="23"/>
      <c r="C351" s="23"/>
      <c r="D351" s="23"/>
      <c r="E351" s="23"/>
      <c r="F351" s="24"/>
      <c r="G351" s="24"/>
    </row>
    <row r="352" spans="2:7" ht="15.75" customHeight="1" x14ac:dyDescent="0.25">
      <c r="B352" s="23"/>
      <c r="C352" s="23"/>
      <c r="D352" s="23"/>
      <c r="E352" s="23"/>
      <c r="F352" s="24"/>
      <c r="G352" s="24"/>
    </row>
    <row r="353" spans="2:7" ht="15.75" customHeight="1" x14ac:dyDescent="0.25">
      <c r="B353" s="23"/>
      <c r="C353" s="23"/>
      <c r="D353" s="23"/>
      <c r="E353" s="23"/>
      <c r="F353" s="24"/>
      <c r="G353" s="24"/>
    </row>
    <row r="354" spans="2:7" ht="15.75" customHeight="1" x14ac:dyDescent="0.25">
      <c r="B354" s="23"/>
      <c r="C354" s="23"/>
      <c r="D354" s="23"/>
      <c r="E354" s="23"/>
      <c r="F354" s="24"/>
      <c r="G354" s="24"/>
    </row>
    <row r="355" spans="2:7" ht="15.75" customHeight="1" x14ac:dyDescent="0.25">
      <c r="B355" s="23"/>
      <c r="C355" s="23"/>
      <c r="D355" s="23"/>
      <c r="E355" s="23"/>
      <c r="F355" s="24"/>
      <c r="G355" s="24"/>
    </row>
    <row r="356" spans="2:7" ht="15.75" customHeight="1" x14ac:dyDescent="0.25">
      <c r="B356" s="23"/>
      <c r="C356" s="23"/>
      <c r="D356" s="23"/>
      <c r="E356" s="23"/>
      <c r="F356" s="24"/>
      <c r="G356" s="24"/>
    </row>
    <row r="357" spans="2:7" ht="15.75" customHeight="1" x14ac:dyDescent="0.25">
      <c r="B357" s="23"/>
      <c r="C357" s="23"/>
      <c r="D357" s="23"/>
      <c r="E357" s="23"/>
      <c r="F357" s="24"/>
      <c r="G357" s="24"/>
    </row>
    <row r="358" spans="2:7" ht="15.75" customHeight="1" x14ac:dyDescent="0.25">
      <c r="B358" s="23"/>
      <c r="C358" s="23"/>
      <c r="D358" s="23"/>
      <c r="E358" s="23"/>
      <c r="F358" s="24"/>
      <c r="G358" s="24"/>
    </row>
    <row r="359" spans="2:7" ht="15.75" customHeight="1" x14ac:dyDescent="0.25">
      <c r="B359" s="23"/>
      <c r="C359" s="23"/>
      <c r="D359" s="23"/>
      <c r="E359" s="23"/>
      <c r="F359" s="24"/>
      <c r="G359" s="24"/>
    </row>
    <row r="360" spans="2:7" ht="15.75" customHeight="1" x14ac:dyDescent="0.25">
      <c r="B360" s="23"/>
      <c r="C360" s="23"/>
      <c r="D360" s="23"/>
      <c r="E360" s="23"/>
      <c r="F360" s="24"/>
      <c r="G360" s="24"/>
    </row>
    <row r="361" spans="2:7" ht="15.75" customHeight="1" x14ac:dyDescent="0.25">
      <c r="B361" s="23"/>
      <c r="C361" s="23"/>
      <c r="D361" s="23"/>
      <c r="E361" s="23"/>
      <c r="F361" s="24"/>
      <c r="G361" s="24"/>
    </row>
    <row r="362" spans="2:7" ht="15.75" customHeight="1" x14ac:dyDescent="0.25">
      <c r="B362" s="23"/>
      <c r="C362" s="23"/>
      <c r="D362" s="23"/>
      <c r="E362" s="23"/>
      <c r="F362" s="24"/>
      <c r="G362" s="24"/>
    </row>
    <row r="363" spans="2:7" ht="15.75" customHeight="1" x14ac:dyDescent="0.25">
      <c r="B363" s="23"/>
      <c r="C363" s="23"/>
      <c r="D363" s="23"/>
      <c r="E363" s="23"/>
      <c r="F363" s="24"/>
      <c r="G363" s="24"/>
    </row>
    <row r="364" spans="2:7" ht="15.75" customHeight="1" x14ac:dyDescent="0.25">
      <c r="B364" s="23"/>
      <c r="C364" s="23"/>
      <c r="D364" s="23"/>
      <c r="E364" s="23"/>
      <c r="F364" s="24"/>
      <c r="G364" s="24"/>
    </row>
    <row r="365" spans="2:7" ht="15.75" customHeight="1" x14ac:dyDescent="0.25">
      <c r="B365" s="23"/>
      <c r="C365" s="23"/>
      <c r="D365" s="23"/>
      <c r="E365" s="23"/>
      <c r="F365" s="24"/>
      <c r="G365" s="24"/>
    </row>
    <row r="366" spans="2:7" ht="15.75" customHeight="1" x14ac:dyDescent="0.25">
      <c r="B366" s="23"/>
      <c r="C366" s="23"/>
      <c r="D366" s="23"/>
      <c r="E366" s="23"/>
      <c r="F366" s="24"/>
      <c r="G366" s="24"/>
    </row>
    <row r="367" spans="2:7" ht="15.75" customHeight="1" x14ac:dyDescent="0.25">
      <c r="B367" s="23"/>
      <c r="C367" s="23"/>
      <c r="D367" s="23"/>
      <c r="E367" s="23"/>
      <c r="F367" s="24"/>
      <c r="G367" s="24"/>
    </row>
    <row r="368" spans="2:7" ht="15.75" customHeight="1" x14ac:dyDescent="0.25">
      <c r="B368" s="23"/>
      <c r="C368" s="23"/>
      <c r="D368" s="23"/>
      <c r="E368" s="23"/>
      <c r="F368" s="24"/>
      <c r="G368" s="24"/>
    </row>
    <row r="369" spans="2:7" ht="15.75" customHeight="1" x14ac:dyDescent="0.25">
      <c r="B369" s="23"/>
      <c r="C369" s="23"/>
      <c r="D369" s="23"/>
      <c r="E369" s="23"/>
      <c r="F369" s="24"/>
      <c r="G369" s="24"/>
    </row>
    <row r="370" spans="2:7" ht="15.75" customHeight="1" x14ac:dyDescent="0.25">
      <c r="B370" s="23"/>
      <c r="C370" s="23"/>
      <c r="D370" s="23"/>
      <c r="E370" s="23"/>
      <c r="F370" s="24"/>
      <c r="G370" s="24"/>
    </row>
    <row r="371" spans="2:7" ht="15.75" customHeight="1" x14ac:dyDescent="0.25">
      <c r="B371" s="23"/>
      <c r="C371" s="23"/>
      <c r="D371" s="23"/>
      <c r="E371" s="23"/>
      <c r="F371" s="24"/>
      <c r="G371" s="24"/>
    </row>
    <row r="372" spans="2:7" ht="15.75" customHeight="1" x14ac:dyDescent="0.25">
      <c r="B372" s="23"/>
      <c r="C372" s="23"/>
      <c r="D372" s="23"/>
      <c r="E372" s="23"/>
      <c r="F372" s="24"/>
      <c r="G372" s="24"/>
    </row>
    <row r="373" spans="2:7" ht="15.75" customHeight="1" x14ac:dyDescent="0.25">
      <c r="B373" s="23"/>
      <c r="C373" s="23"/>
      <c r="D373" s="23"/>
      <c r="E373" s="23"/>
      <c r="F373" s="24"/>
      <c r="G373" s="24"/>
    </row>
    <row r="374" spans="2:7" ht="15.75" customHeight="1" x14ac:dyDescent="0.25">
      <c r="B374" s="23"/>
      <c r="C374" s="23"/>
      <c r="D374" s="23"/>
      <c r="E374" s="23"/>
      <c r="F374" s="24"/>
      <c r="G374" s="24"/>
    </row>
    <row r="375" spans="2:7" ht="15.75" customHeight="1" x14ac:dyDescent="0.25">
      <c r="B375" s="23"/>
      <c r="C375" s="23"/>
      <c r="D375" s="23"/>
      <c r="E375" s="23"/>
      <c r="F375" s="24"/>
      <c r="G375" s="24"/>
    </row>
    <row r="376" spans="2:7" ht="15.75" customHeight="1" x14ac:dyDescent="0.25">
      <c r="B376" s="23"/>
      <c r="C376" s="23"/>
      <c r="D376" s="23"/>
      <c r="E376" s="23"/>
      <c r="F376" s="24"/>
      <c r="G376" s="24"/>
    </row>
    <row r="377" spans="2:7" ht="15.75" customHeight="1" x14ac:dyDescent="0.25">
      <c r="B377" s="23"/>
      <c r="C377" s="23"/>
      <c r="D377" s="23"/>
      <c r="E377" s="23"/>
      <c r="F377" s="24"/>
      <c r="G377" s="24"/>
    </row>
    <row r="378" spans="2:7" ht="15.75" customHeight="1" x14ac:dyDescent="0.25">
      <c r="B378" s="23"/>
      <c r="C378" s="23"/>
      <c r="D378" s="23"/>
      <c r="E378" s="23"/>
      <c r="F378" s="24"/>
      <c r="G378" s="24"/>
    </row>
    <row r="379" spans="2:7" ht="15.75" customHeight="1" x14ac:dyDescent="0.25">
      <c r="B379" s="23"/>
      <c r="C379" s="23"/>
      <c r="D379" s="23"/>
      <c r="E379" s="23"/>
      <c r="F379" s="24"/>
      <c r="G379" s="24"/>
    </row>
    <row r="380" spans="2:7" ht="15.75" customHeight="1" x14ac:dyDescent="0.25">
      <c r="B380" s="23"/>
      <c r="C380" s="23"/>
      <c r="D380" s="23"/>
      <c r="E380" s="23"/>
      <c r="F380" s="24"/>
      <c r="G380" s="24"/>
    </row>
    <row r="381" spans="2:7" ht="15.75" customHeight="1" x14ac:dyDescent="0.25">
      <c r="B381" s="23"/>
      <c r="C381" s="23"/>
      <c r="D381" s="23"/>
      <c r="E381" s="23"/>
      <c r="F381" s="24"/>
      <c r="G381" s="24"/>
    </row>
    <row r="382" spans="2:7" ht="15.75" customHeight="1" x14ac:dyDescent="0.25">
      <c r="B382" s="23"/>
      <c r="C382" s="23"/>
      <c r="D382" s="23"/>
      <c r="E382" s="23"/>
      <c r="F382" s="24"/>
      <c r="G382" s="24"/>
    </row>
    <row r="383" spans="2:7" ht="15.75" customHeight="1" x14ac:dyDescent="0.25">
      <c r="B383" s="23"/>
      <c r="C383" s="23"/>
      <c r="D383" s="23"/>
      <c r="E383" s="23"/>
      <c r="F383" s="24"/>
      <c r="G383" s="24"/>
    </row>
    <row r="384" spans="2:7" ht="15.75" customHeight="1" x14ac:dyDescent="0.25">
      <c r="B384" s="23"/>
      <c r="C384" s="23"/>
      <c r="D384" s="23"/>
      <c r="E384" s="23"/>
      <c r="F384" s="24"/>
      <c r="G384" s="24"/>
    </row>
    <row r="385" spans="2:7" ht="15.75" customHeight="1" x14ac:dyDescent="0.25">
      <c r="B385" s="23"/>
      <c r="C385" s="23"/>
      <c r="D385" s="23"/>
      <c r="E385" s="23"/>
      <c r="F385" s="24"/>
      <c r="G385" s="24"/>
    </row>
    <row r="386" spans="2:7" ht="15.75" customHeight="1" x14ac:dyDescent="0.25">
      <c r="B386" s="23"/>
      <c r="C386" s="23"/>
      <c r="D386" s="23"/>
      <c r="E386" s="23"/>
      <c r="F386" s="24"/>
      <c r="G386" s="24"/>
    </row>
    <row r="387" spans="2:7" ht="15.75" customHeight="1" x14ac:dyDescent="0.25">
      <c r="B387" s="23"/>
      <c r="C387" s="23"/>
      <c r="D387" s="23"/>
      <c r="E387" s="23"/>
      <c r="F387" s="24"/>
      <c r="G387" s="24"/>
    </row>
    <row r="388" spans="2:7" ht="15.75" customHeight="1" x14ac:dyDescent="0.25">
      <c r="B388" s="23"/>
      <c r="C388" s="23"/>
      <c r="D388" s="23"/>
      <c r="E388" s="23"/>
      <c r="F388" s="24"/>
      <c r="G388" s="24"/>
    </row>
    <row r="389" spans="2:7" ht="15.75" customHeight="1" x14ac:dyDescent="0.25">
      <c r="B389" s="23"/>
      <c r="C389" s="23"/>
      <c r="D389" s="23"/>
      <c r="E389" s="23"/>
      <c r="F389" s="24"/>
      <c r="G389" s="24"/>
    </row>
    <row r="390" spans="2:7" ht="15.75" customHeight="1" x14ac:dyDescent="0.25">
      <c r="B390" s="23"/>
      <c r="C390" s="23"/>
      <c r="D390" s="23"/>
      <c r="E390" s="23"/>
      <c r="F390" s="24"/>
      <c r="G390" s="24"/>
    </row>
    <row r="391" spans="2:7" ht="15.75" customHeight="1" x14ac:dyDescent="0.25">
      <c r="B391" s="23"/>
      <c r="C391" s="23"/>
      <c r="D391" s="23"/>
      <c r="E391" s="23"/>
      <c r="F391" s="24"/>
      <c r="G391" s="24"/>
    </row>
    <row r="392" spans="2:7" ht="15.75" customHeight="1" x14ac:dyDescent="0.25">
      <c r="B392" s="23"/>
      <c r="C392" s="23"/>
      <c r="D392" s="23"/>
      <c r="E392" s="23"/>
      <c r="F392" s="24"/>
      <c r="G392" s="24"/>
    </row>
    <row r="393" spans="2:7" ht="15.75" customHeight="1" x14ac:dyDescent="0.25">
      <c r="B393" s="23"/>
      <c r="C393" s="23"/>
      <c r="D393" s="23"/>
      <c r="E393" s="23"/>
      <c r="F393" s="24"/>
      <c r="G393" s="24"/>
    </row>
    <row r="394" spans="2:7" ht="15.75" customHeight="1" x14ac:dyDescent="0.25">
      <c r="B394" s="23"/>
      <c r="C394" s="23"/>
      <c r="D394" s="23"/>
      <c r="E394" s="23"/>
      <c r="F394" s="24"/>
      <c r="G394" s="24"/>
    </row>
    <row r="395" spans="2:7" ht="15.75" customHeight="1" x14ac:dyDescent="0.25">
      <c r="B395" s="23"/>
      <c r="C395" s="23"/>
      <c r="D395" s="23"/>
      <c r="E395" s="23"/>
      <c r="F395" s="24"/>
      <c r="G395" s="24"/>
    </row>
    <row r="396" spans="2:7" ht="15.75" customHeight="1" x14ac:dyDescent="0.25">
      <c r="B396" s="23"/>
      <c r="C396" s="23"/>
      <c r="D396" s="23"/>
      <c r="E396" s="23"/>
      <c r="F396" s="24"/>
      <c r="G396" s="24"/>
    </row>
    <row r="397" spans="2:7" ht="15.75" customHeight="1" x14ac:dyDescent="0.25">
      <c r="B397" s="23"/>
      <c r="C397" s="23"/>
      <c r="D397" s="23"/>
      <c r="E397" s="23"/>
      <c r="F397" s="24"/>
      <c r="G397" s="24"/>
    </row>
    <row r="398" spans="2:7" ht="15.75" customHeight="1" x14ac:dyDescent="0.25">
      <c r="B398" s="23"/>
      <c r="C398" s="23"/>
      <c r="D398" s="23"/>
      <c r="E398" s="23"/>
      <c r="F398" s="24"/>
      <c r="G398" s="24"/>
    </row>
    <row r="399" spans="2:7" ht="15.75" customHeight="1" x14ac:dyDescent="0.25">
      <c r="B399" s="23"/>
      <c r="C399" s="23"/>
      <c r="D399" s="23"/>
      <c r="E399" s="23"/>
      <c r="F399" s="24"/>
      <c r="G399" s="24"/>
    </row>
    <row r="400" spans="2:7" ht="15.75" customHeight="1" x14ac:dyDescent="0.25">
      <c r="B400" s="23"/>
      <c r="C400" s="23"/>
      <c r="D400" s="23"/>
      <c r="E400" s="23"/>
      <c r="F400" s="24"/>
      <c r="G400" s="24"/>
    </row>
    <row r="401" spans="2:7" ht="15.75" customHeight="1" x14ac:dyDescent="0.25">
      <c r="B401" s="23"/>
      <c r="C401" s="23"/>
      <c r="D401" s="23"/>
      <c r="E401" s="23"/>
      <c r="F401" s="24"/>
      <c r="G401" s="24"/>
    </row>
    <row r="402" spans="2:7" ht="15.75" customHeight="1" x14ac:dyDescent="0.25">
      <c r="B402" s="23"/>
      <c r="C402" s="23"/>
      <c r="D402" s="23"/>
      <c r="E402" s="23"/>
      <c r="F402" s="24"/>
      <c r="G402" s="24"/>
    </row>
    <row r="403" spans="2:7" ht="15.75" customHeight="1" x14ac:dyDescent="0.25">
      <c r="B403" s="23"/>
      <c r="C403" s="23"/>
      <c r="D403" s="23"/>
      <c r="E403" s="23"/>
      <c r="F403" s="24"/>
      <c r="G403" s="24"/>
    </row>
    <row r="404" spans="2:7" ht="15.75" customHeight="1" x14ac:dyDescent="0.25">
      <c r="B404" s="23"/>
      <c r="C404" s="23"/>
      <c r="D404" s="23"/>
      <c r="E404" s="23"/>
      <c r="F404" s="24"/>
      <c r="G404" s="24"/>
    </row>
    <row r="405" spans="2:7" ht="15.75" customHeight="1" x14ac:dyDescent="0.25">
      <c r="B405" s="23"/>
      <c r="C405" s="23"/>
      <c r="D405" s="23"/>
      <c r="E405" s="23"/>
      <c r="F405" s="24"/>
      <c r="G405" s="24"/>
    </row>
    <row r="406" spans="2:7" ht="15.75" customHeight="1" x14ac:dyDescent="0.25">
      <c r="B406" s="23"/>
      <c r="C406" s="23"/>
      <c r="D406" s="23"/>
      <c r="E406" s="23"/>
      <c r="F406" s="24"/>
      <c r="G406" s="24"/>
    </row>
    <row r="407" spans="2:7" ht="15.75" customHeight="1" x14ac:dyDescent="0.25">
      <c r="B407" s="23"/>
      <c r="C407" s="23"/>
      <c r="D407" s="23"/>
      <c r="E407" s="23"/>
      <c r="F407" s="24"/>
      <c r="G407" s="24"/>
    </row>
    <row r="408" spans="2:7" ht="15.75" customHeight="1" x14ac:dyDescent="0.25">
      <c r="B408" s="23"/>
      <c r="C408" s="23"/>
      <c r="D408" s="23"/>
      <c r="E408" s="23"/>
      <c r="F408" s="24"/>
      <c r="G408" s="24"/>
    </row>
    <row r="409" spans="2:7" ht="15.75" customHeight="1" x14ac:dyDescent="0.25">
      <c r="B409" s="23"/>
      <c r="C409" s="23"/>
      <c r="D409" s="23"/>
      <c r="E409" s="23"/>
      <c r="F409" s="24"/>
      <c r="G409" s="24"/>
    </row>
    <row r="410" spans="2:7" ht="15.75" customHeight="1" x14ac:dyDescent="0.25">
      <c r="B410" s="23"/>
      <c r="C410" s="23"/>
      <c r="D410" s="23"/>
      <c r="E410" s="23"/>
      <c r="F410" s="24"/>
      <c r="G410" s="24"/>
    </row>
    <row r="411" spans="2:7" ht="15.75" customHeight="1" x14ac:dyDescent="0.25">
      <c r="B411" s="23"/>
      <c r="C411" s="23"/>
      <c r="D411" s="23"/>
      <c r="E411" s="23"/>
      <c r="F411" s="24"/>
      <c r="G411" s="24"/>
    </row>
    <row r="412" spans="2:7" ht="15.75" customHeight="1" x14ac:dyDescent="0.25">
      <c r="B412" s="23"/>
      <c r="C412" s="23"/>
      <c r="D412" s="23"/>
      <c r="E412" s="23"/>
      <c r="F412" s="24"/>
      <c r="G412" s="24"/>
    </row>
    <row r="413" spans="2:7" ht="15.75" customHeight="1" x14ac:dyDescent="0.25">
      <c r="B413" s="23"/>
      <c r="C413" s="23"/>
      <c r="D413" s="23"/>
      <c r="E413" s="23"/>
      <c r="F413" s="24"/>
      <c r="G413" s="24"/>
    </row>
    <row r="414" spans="2:7" ht="15.75" customHeight="1" x14ac:dyDescent="0.25">
      <c r="B414" s="23"/>
      <c r="C414" s="23"/>
      <c r="D414" s="23"/>
      <c r="E414" s="23"/>
      <c r="F414" s="24"/>
      <c r="G414" s="24"/>
    </row>
    <row r="415" spans="2:7" ht="15.75" customHeight="1" x14ac:dyDescent="0.25">
      <c r="B415" s="23"/>
      <c r="C415" s="23"/>
      <c r="D415" s="23"/>
      <c r="E415" s="23"/>
      <c r="F415" s="24"/>
      <c r="G415" s="24"/>
    </row>
    <row r="416" spans="2:7" ht="15.75" customHeight="1" x14ac:dyDescent="0.25">
      <c r="B416" s="23"/>
      <c r="C416" s="23"/>
      <c r="D416" s="23"/>
      <c r="E416" s="23"/>
      <c r="F416" s="24"/>
      <c r="G416" s="24"/>
    </row>
    <row r="417" spans="2:7" ht="15.75" customHeight="1" x14ac:dyDescent="0.25">
      <c r="B417" s="23"/>
      <c r="C417" s="23"/>
      <c r="D417" s="23"/>
      <c r="E417" s="23"/>
      <c r="F417" s="24"/>
      <c r="G417" s="24"/>
    </row>
    <row r="418" spans="2:7" ht="15.75" customHeight="1" x14ac:dyDescent="0.25">
      <c r="B418" s="23"/>
      <c r="C418" s="23"/>
      <c r="D418" s="23"/>
      <c r="E418" s="23"/>
      <c r="F418" s="24"/>
      <c r="G418" s="24"/>
    </row>
    <row r="419" spans="2:7" ht="15.75" customHeight="1" x14ac:dyDescent="0.25">
      <c r="B419" s="23"/>
      <c r="C419" s="23"/>
      <c r="D419" s="23"/>
      <c r="E419" s="23"/>
      <c r="F419" s="24"/>
      <c r="G419" s="24"/>
    </row>
    <row r="420" spans="2:7" ht="15.75" customHeight="1" x14ac:dyDescent="0.25">
      <c r="B420" s="23"/>
      <c r="C420" s="23"/>
      <c r="D420" s="23"/>
      <c r="E420" s="23"/>
      <c r="F420" s="24"/>
      <c r="G420" s="24"/>
    </row>
    <row r="421" spans="2:7" ht="15.75" customHeight="1" x14ac:dyDescent="0.25">
      <c r="B421" s="23"/>
      <c r="C421" s="23"/>
      <c r="D421" s="23"/>
      <c r="E421" s="23"/>
      <c r="F421" s="24"/>
      <c r="G421" s="24"/>
    </row>
    <row r="422" spans="2:7" ht="15.75" customHeight="1" x14ac:dyDescent="0.25">
      <c r="B422" s="23"/>
      <c r="C422" s="23"/>
      <c r="D422" s="23"/>
      <c r="E422" s="23"/>
      <c r="F422" s="24"/>
      <c r="G422" s="24"/>
    </row>
    <row r="423" spans="2:7" ht="15.75" customHeight="1" x14ac:dyDescent="0.25">
      <c r="B423" s="23"/>
      <c r="C423" s="23"/>
      <c r="D423" s="23"/>
      <c r="E423" s="23"/>
      <c r="F423" s="24"/>
      <c r="G423" s="24"/>
    </row>
    <row r="424" spans="2:7" ht="15.75" customHeight="1" x14ac:dyDescent="0.25">
      <c r="B424" s="23"/>
      <c r="C424" s="23"/>
      <c r="D424" s="23"/>
      <c r="E424" s="23"/>
      <c r="F424" s="24"/>
      <c r="G424" s="24"/>
    </row>
    <row r="425" spans="2:7" ht="15.75" customHeight="1" x14ac:dyDescent="0.25">
      <c r="B425" s="23"/>
      <c r="C425" s="23"/>
      <c r="D425" s="23"/>
      <c r="E425" s="23"/>
      <c r="F425" s="24"/>
      <c r="G425" s="24"/>
    </row>
    <row r="426" spans="2:7" ht="15.75" customHeight="1" x14ac:dyDescent="0.25">
      <c r="B426" s="23"/>
      <c r="C426" s="23"/>
      <c r="D426" s="23"/>
      <c r="E426" s="23"/>
      <c r="F426" s="24"/>
      <c r="G426" s="24"/>
    </row>
    <row r="427" spans="2:7" ht="15.75" customHeight="1" x14ac:dyDescent="0.25">
      <c r="B427" s="23"/>
      <c r="C427" s="23"/>
      <c r="D427" s="23"/>
      <c r="E427" s="23"/>
      <c r="F427" s="24"/>
      <c r="G427" s="24"/>
    </row>
    <row r="428" spans="2:7" ht="15.75" customHeight="1" x14ac:dyDescent="0.25">
      <c r="B428" s="23"/>
      <c r="C428" s="23"/>
      <c r="D428" s="23"/>
      <c r="E428" s="23"/>
      <c r="F428" s="24"/>
      <c r="G428" s="24"/>
    </row>
    <row r="429" spans="2:7" ht="15.75" customHeight="1" x14ac:dyDescent="0.25">
      <c r="B429" s="23"/>
      <c r="C429" s="23"/>
      <c r="D429" s="23"/>
      <c r="E429" s="23"/>
      <c r="F429" s="24"/>
      <c r="G429" s="24"/>
    </row>
    <row r="430" spans="2:7" ht="15.75" customHeight="1" x14ac:dyDescent="0.25">
      <c r="B430" s="23"/>
      <c r="C430" s="23"/>
      <c r="D430" s="23"/>
      <c r="E430" s="23"/>
      <c r="F430" s="24"/>
      <c r="G430" s="24"/>
    </row>
    <row r="431" spans="2:7" ht="15.75" customHeight="1" x14ac:dyDescent="0.25">
      <c r="B431" s="23"/>
      <c r="C431" s="23"/>
      <c r="D431" s="23"/>
      <c r="E431" s="23"/>
      <c r="F431" s="24"/>
      <c r="G431" s="24"/>
    </row>
    <row r="432" spans="2:7" ht="15.75" customHeight="1" x14ac:dyDescent="0.25">
      <c r="B432" s="23"/>
      <c r="C432" s="23"/>
      <c r="D432" s="23"/>
      <c r="E432" s="23"/>
      <c r="F432" s="24"/>
      <c r="G432" s="24"/>
    </row>
    <row r="433" spans="2:7" ht="15.75" customHeight="1" x14ac:dyDescent="0.25">
      <c r="B433" s="23"/>
      <c r="C433" s="23"/>
      <c r="D433" s="23"/>
      <c r="E433" s="23"/>
      <c r="F433" s="24"/>
      <c r="G433" s="24"/>
    </row>
    <row r="434" spans="2:7" ht="15.75" customHeight="1" x14ac:dyDescent="0.25">
      <c r="B434" s="23"/>
      <c r="C434" s="23"/>
      <c r="D434" s="23"/>
      <c r="E434" s="23"/>
      <c r="F434" s="24"/>
      <c r="G434" s="24"/>
    </row>
    <row r="435" spans="2:7" ht="15.75" customHeight="1" x14ac:dyDescent="0.25">
      <c r="B435" s="23"/>
      <c r="C435" s="23"/>
      <c r="D435" s="23"/>
      <c r="E435" s="23"/>
      <c r="F435" s="24"/>
      <c r="G435" s="24"/>
    </row>
    <row r="436" spans="2:7" ht="15.75" customHeight="1" x14ac:dyDescent="0.25">
      <c r="B436" s="23"/>
      <c r="C436" s="23"/>
      <c r="D436" s="23"/>
      <c r="E436" s="23"/>
      <c r="F436" s="24"/>
      <c r="G436" s="24"/>
    </row>
    <row r="437" spans="2:7" ht="15.75" customHeight="1" x14ac:dyDescent="0.25">
      <c r="B437" s="23"/>
      <c r="C437" s="23"/>
      <c r="D437" s="23"/>
      <c r="E437" s="23"/>
      <c r="F437" s="24"/>
      <c r="G437" s="24"/>
    </row>
    <row r="438" spans="2:7" ht="15.75" customHeight="1" x14ac:dyDescent="0.25">
      <c r="B438" s="23"/>
      <c r="C438" s="23"/>
      <c r="D438" s="23"/>
      <c r="E438" s="23"/>
      <c r="F438" s="24"/>
      <c r="G438" s="24"/>
    </row>
    <row r="439" spans="2:7" ht="15.75" customHeight="1" x14ac:dyDescent="0.25">
      <c r="B439" s="23"/>
      <c r="C439" s="23"/>
      <c r="D439" s="23"/>
      <c r="E439" s="23"/>
      <c r="F439" s="24"/>
      <c r="G439" s="24"/>
    </row>
    <row r="440" spans="2:7" ht="15.75" customHeight="1" x14ac:dyDescent="0.25">
      <c r="B440" s="23"/>
      <c r="C440" s="23"/>
      <c r="D440" s="23"/>
      <c r="E440" s="23"/>
      <c r="F440" s="24"/>
      <c r="G440" s="24"/>
    </row>
    <row r="441" spans="2:7" ht="15.75" customHeight="1" x14ac:dyDescent="0.25">
      <c r="B441" s="23"/>
      <c r="C441" s="23"/>
      <c r="D441" s="23"/>
      <c r="E441" s="23"/>
      <c r="F441" s="24"/>
      <c r="G441" s="24"/>
    </row>
    <row r="442" spans="2:7" ht="15.75" customHeight="1" x14ac:dyDescent="0.25">
      <c r="B442" s="23"/>
      <c r="C442" s="23"/>
      <c r="D442" s="23"/>
      <c r="E442" s="23"/>
      <c r="F442" s="24"/>
      <c r="G442" s="24"/>
    </row>
    <row r="443" spans="2:7" ht="15.75" customHeight="1" x14ac:dyDescent="0.25">
      <c r="B443" s="23"/>
      <c r="C443" s="23"/>
      <c r="D443" s="23"/>
      <c r="E443" s="23"/>
      <c r="F443" s="24"/>
      <c r="G443" s="24"/>
    </row>
    <row r="444" spans="2:7" ht="15.75" customHeight="1" x14ac:dyDescent="0.25">
      <c r="B444" s="23"/>
      <c r="C444" s="23"/>
      <c r="D444" s="23"/>
      <c r="E444" s="23"/>
      <c r="F444" s="24"/>
      <c r="G444" s="24"/>
    </row>
    <row r="445" spans="2:7" ht="15.75" customHeight="1" x14ac:dyDescent="0.25">
      <c r="B445" s="23"/>
      <c r="C445" s="23"/>
      <c r="D445" s="23"/>
      <c r="E445" s="23"/>
      <c r="F445" s="24"/>
      <c r="G445" s="24"/>
    </row>
    <row r="446" spans="2:7" ht="15.75" customHeight="1" x14ac:dyDescent="0.25">
      <c r="B446" s="23"/>
      <c r="C446" s="23"/>
      <c r="D446" s="23"/>
      <c r="E446" s="23"/>
      <c r="F446" s="24"/>
      <c r="G446" s="24"/>
    </row>
    <row r="447" spans="2:7" ht="15.75" customHeight="1" x14ac:dyDescent="0.25">
      <c r="B447" s="23"/>
      <c r="C447" s="23"/>
      <c r="D447" s="23"/>
      <c r="E447" s="23"/>
      <c r="F447" s="24"/>
      <c r="G447" s="24"/>
    </row>
    <row r="448" spans="2:7" ht="15.75" customHeight="1" x14ac:dyDescent="0.25">
      <c r="B448" s="23"/>
      <c r="C448" s="23"/>
      <c r="D448" s="23"/>
      <c r="E448" s="23"/>
      <c r="F448" s="24"/>
      <c r="G448" s="24"/>
    </row>
    <row r="449" spans="2:7" ht="15.75" customHeight="1" x14ac:dyDescent="0.25">
      <c r="B449" s="23"/>
      <c r="C449" s="23"/>
      <c r="D449" s="23"/>
      <c r="E449" s="23"/>
      <c r="F449" s="24"/>
      <c r="G449" s="24"/>
    </row>
    <row r="450" spans="2:7" ht="15.75" customHeight="1" x14ac:dyDescent="0.25">
      <c r="B450" s="23"/>
      <c r="C450" s="23"/>
      <c r="D450" s="23"/>
      <c r="E450" s="23"/>
      <c r="F450" s="24"/>
      <c r="G450" s="24"/>
    </row>
    <row r="451" spans="2:7" ht="15.75" customHeight="1" x14ac:dyDescent="0.25">
      <c r="B451" s="23"/>
      <c r="C451" s="23"/>
      <c r="D451" s="23"/>
      <c r="E451" s="23"/>
      <c r="F451" s="24"/>
      <c r="G451" s="24"/>
    </row>
    <row r="452" spans="2:7" ht="15.75" customHeight="1" x14ac:dyDescent="0.25">
      <c r="B452" s="23"/>
      <c r="C452" s="23"/>
      <c r="D452" s="23"/>
      <c r="E452" s="23"/>
      <c r="F452" s="24"/>
      <c r="G452" s="24"/>
    </row>
    <row r="453" spans="2:7" ht="15.75" customHeight="1" x14ac:dyDescent="0.25">
      <c r="B453" s="23"/>
      <c r="C453" s="23"/>
      <c r="D453" s="23"/>
      <c r="E453" s="23"/>
      <c r="F453" s="24"/>
      <c r="G453" s="24"/>
    </row>
    <row r="454" spans="2:7" ht="15.75" customHeight="1" x14ac:dyDescent="0.25">
      <c r="B454" s="23"/>
      <c r="C454" s="23"/>
      <c r="D454" s="23"/>
      <c r="E454" s="23"/>
      <c r="F454" s="24"/>
      <c r="G454" s="24"/>
    </row>
    <row r="455" spans="2:7" ht="15.75" customHeight="1" x14ac:dyDescent="0.25">
      <c r="B455" s="23"/>
      <c r="C455" s="23"/>
      <c r="D455" s="23"/>
      <c r="E455" s="23"/>
      <c r="F455" s="24"/>
      <c r="G455" s="24"/>
    </row>
    <row r="456" spans="2:7" ht="15.75" customHeight="1" x14ac:dyDescent="0.25">
      <c r="B456" s="23"/>
      <c r="C456" s="23"/>
      <c r="D456" s="23"/>
      <c r="E456" s="23"/>
      <c r="F456" s="24"/>
      <c r="G456" s="24"/>
    </row>
    <row r="457" spans="2:7" ht="15.75" customHeight="1" x14ac:dyDescent="0.25">
      <c r="B457" s="23"/>
      <c r="C457" s="23"/>
      <c r="D457" s="23"/>
      <c r="E457" s="23"/>
      <c r="F457" s="24"/>
      <c r="G457" s="24"/>
    </row>
    <row r="458" spans="2:7" ht="15.75" customHeight="1" x14ac:dyDescent="0.25">
      <c r="B458" s="23"/>
      <c r="C458" s="23"/>
      <c r="D458" s="23"/>
      <c r="E458" s="23"/>
      <c r="F458" s="24"/>
      <c r="G458" s="24"/>
    </row>
    <row r="459" spans="2:7" ht="15.75" customHeight="1" x14ac:dyDescent="0.25">
      <c r="B459" s="23"/>
      <c r="C459" s="23"/>
      <c r="D459" s="23"/>
      <c r="E459" s="23"/>
      <c r="F459" s="24"/>
      <c r="G459" s="24"/>
    </row>
    <row r="460" spans="2:7" ht="15.75" customHeight="1" x14ac:dyDescent="0.25">
      <c r="B460" s="23"/>
      <c r="C460" s="23"/>
      <c r="D460" s="23"/>
      <c r="E460" s="23"/>
      <c r="F460" s="24"/>
      <c r="G460" s="24"/>
    </row>
    <row r="461" spans="2:7" ht="15.75" customHeight="1" x14ac:dyDescent="0.25">
      <c r="B461" s="23"/>
      <c r="C461" s="23"/>
      <c r="D461" s="23"/>
      <c r="E461" s="23"/>
      <c r="F461" s="24"/>
      <c r="G461" s="24"/>
    </row>
    <row r="462" spans="2:7" ht="15.75" customHeight="1" x14ac:dyDescent="0.25">
      <c r="B462" s="23"/>
      <c r="C462" s="23"/>
      <c r="D462" s="23"/>
      <c r="E462" s="23"/>
      <c r="F462" s="24"/>
      <c r="G462" s="24"/>
    </row>
    <row r="463" spans="2:7" ht="15.75" customHeight="1" x14ac:dyDescent="0.25">
      <c r="B463" s="23"/>
      <c r="C463" s="23"/>
      <c r="D463" s="23"/>
      <c r="E463" s="23"/>
      <c r="F463" s="24"/>
      <c r="G463" s="24"/>
    </row>
    <row r="464" spans="2:7" ht="15.75" customHeight="1" x14ac:dyDescent="0.25">
      <c r="B464" s="23"/>
      <c r="C464" s="23"/>
      <c r="D464" s="23"/>
      <c r="E464" s="23"/>
      <c r="F464" s="24"/>
      <c r="G464" s="24"/>
    </row>
    <row r="465" spans="2:7" ht="15.75" customHeight="1" x14ac:dyDescent="0.25">
      <c r="B465" s="23"/>
      <c r="C465" s="23"/>
      <c r="D465" s="23"/>
      <c r="E465" s="23"/>
      <c r="F465" s="24"/>
      <c r="G465" s="24"/>
    </row>
    <row r="466" spans="2:7" ht="15.75" customHeight="1" x14ac:dyDescent="0.25">
      <c r="B466" s="23"/>
      <c r="C466" s="23"/>
      <c r="D466" s="23"/>
      <c r="E466" s="23"/>
      <c r="F466" s="24"/>
      <c r="G466" s="24"/>
    </row>
    <row r="467" spans="2:7" ht="15.75" customHeight="1" x14ac:dyDescent="0.25">
      <c r="B467" s="23"/>
      <c r="C467" s="23"/>
      <c r="D467" s="23"/>
      <c r="E467" s="23"/>
      <c r="F467" s="24"/>
      <c r="G467" s="24"/>
    </row>
    <row r="468" spans="2:7" ht="15.75" customHeight="1" x14ac:dyDescent="0.25">
      <c r="B468" s="23"/>
      <c r="C468" s="23"/>
      <c r="D468" s="23"/>
      <c r="E468" s="23"/>
      <c r="F468" s="24"/>
      <c r="G468" s="24"/>
    </row>
    <row r="469" spans="2:7" ht="15.75" customHeight="1" x14ac:dyDescent="0.25">
      <c r="B469" s="23"/>
      <c r="C469" s="23"/>
      <c r="D469" s="23"/>
      <c r="E469" s="23"/>
      <c r="F469" s="24"/>
      <c r="G469" s="24"/>
    </row>
    <row r="470" spans="2:7" ht="15.75" customHeight="1" x14ac:dyDescent="0.25">
      <c r="B470" s="23"/>
      <c r="C470" s="23"/>
      <c r="D470" s="23"/>
      <c r="E470" s="23"/>
      <c r="F470" s="24"/>
      <c r="G470" s="24"/>
    </row>
    <row r="471" spans="2:7" ht="15.75" customHeight="1" x14ac:dyDescent="0.25">
      <c r="B471" s="23"/>
      <c r="C471" s="23"/>
      <c r="D471" s="23"/>
      <c r="E471" s="23"/>
      <c r="F471" s="24"/>
      <c r="G471" s="24"/>
    </row>
    <row r="472" spans="2:7" ht="15.75" customHeight="1" x14ac:dyDescent="0.25">
      <c r="B472" s="23"/>
      <c r="C472" s="23"/>
      <c r="D472" s="23"/>
      <c r="E472" s="23"/>
      <c r="F472" s="24"/>
      <c r="G472" s="24"/>
    </row>
    <row r="473" spans="2:7" ht="15.75" customHeight="1" x14ac:dyDescent="0.25">
      <c r="B473" s="23"/>
      <c r="C473" s="23"/>
      <c r="D473" s="23"/>
      <c r="E473" s="23"/>
      <c r="F473" s="24"/>
      <c r="G473" s="24"/>
    </row>
    <row r="474" spans="2:7" ht="15.75" customHeight="1" x14ac:dyDescent="0.25">
      <c r="B474" s="23"/>
      <c r="C474" s="23"/>
      <c r="D474" s="23"/>
      <c r="E474" s="23"/>
      <c r="F474" s="24"/>
      <c r="G474" s="24"/>
    </row>
    <row r="475" spans="2:7" ht="15.75" customHeight="1" x14ac:dyDescent="0.25">
      <c r="B475" s="23"/>
      <c r="C475" s="23"/>
      <c r="D475" s="23"/>
      <c r="E475" s="23"/>
      <c r="F475" s="24"/>
      <c r="G475" s="24"/>
    </row>
    <row r="476" spans="2:7" ht="15.75" customHeight="1" x14ac:dyDescent="0.25">
      <c r="B476" s="23"/>
      <c r="C476" s="23"/>
      <c r="D476" s="23"/>
      <c r="E476" s="23"/>
      <c r="F476" s="24"/>
      <c r="G476" s="24"/>
    </row>
    <row r="477" spans="2:7" ht="15.75" customHeight="1" x14ac:dyDescent="0.25">
      <c r="B477" s="23"/>
      <c r="C477" s="23"/>
      <c r="D477" s="23"/>
      <c r="E477" s="23"/>
      <c r="F477" s="24"/>
      <c r="G477" s="24"/>
    </row>
    <row r="478" spans="2:7" ht="15.75" customHeight="1" x14ac:dyDescent="0.25">
      <c r="B478" s="23"/>
      <c r="C478" s="23"/>
      <c r="D478" s="23"/>
      <c r="E478" s="23"/>
      <c r="F478" s="24"/>
      <c r="G478" s="24"/>
    </row>
    <row r="479" spans="2:7" ht="15.75" customHeight="1" x14ac:dyDescent="0.25">
      <c r="B479" s="23"/>
      <c r="C479" s="23"/>
      <c r="D479" s="23"/>
      <c r="E479" s="23"/>
      <c r="F479" s="24"/>
      <c r="G479" s="24"/>
    </row>
    <row r="480" spans="2:7" ht="15.75" customHeight="1" x14ac:dyDescent="0.25">
      <c r="B480" s="23"/>
      <c r="C480" s="23"/>
      <c r="D480" s="23"/>
      <c r="E480" s="23"/>
      <c r="F480" s="24"/>
      <c r="G480" s="24"/>
    </row>
    <row r="481" spans="2:7" ht="15.75" customHeight="1" x14ac:dyDescent="0.25">
      <c r="B481" s="23"/>
      <c r="C481" s="23"/>
      <c r="D481" s="23"/>
      <c r="E481" s="23"/>
      <c r="F481" s="24"/>
      <c r="G481" s="24"/>
    </row>
    <row r="482" spans="2:7" ht="15.75" customHeight="1" x14ac:dyDescent="0.25">
      <c r="B482" s="23"/>
      <c r="C482" s="23"/>
      <c r="D482" s="23"/>
      <c r="E482" s="23"/>
      <c r="F482" s="24"/>
      <c r="G482" s="24"/>
    </row>
    <row r="483" spans="2:7" ht="15.75" customHeight="1" x14ac:dyDescent="0.25">
      <c r="B483" s="23"/>
      <c r="C483" s="23"/>
      <c r="D483" s="23"/>
      <c r="E483" s="23"/>
      <c r="F483" s="24"/>
      <c r="G483" s="24"/>
    </row>
    <row r="484" spans="2:7" ht="15.75" customHeight="1" x14ac:dyDescent="0.25">
      <c r="B484" s="23"/>
      <c r="C484" s="23"/>
      <c r="D484" s="23"/>
      <c r="E484" s="23"/>
      <c r="F484" s="24"/>
      <c r="G484" s="24"/>
    </row>
    <row r="485" spans="2:7" ht="15.75" customHeight="1" x14ac:dyDescent="0.25">
      <c r="B485" s="23"/>
      <c r="C485" s="23"/>
      <c r="D485" s="23"/>
      <c r="E485" s="23"/>
      <c r="F485" s="24"/>
      <c r="G485" s="24"/>
    </row>
    <row r="486" spans="2:7" ht="15.75" customHeight="1" x14ac:dyDescent="0.25">
      <c r="B486" s="23"/>
      <c r="C486" s="23"/>
      <c r="D486" s="23"/>
      <c r="E486" s="23"/>
      <c r="F486" s="24"/>
      <c r="G486" s="24"/>
    </row>
    <row r="487" spans="2:7" ht="15.75" customHeight="1" x14ac:dyDescent="0.25">
      <c r="B487" s="23"/>
      <c r="C487" s="23"/>
      <c r="D487" s="23"/>
      <c r="E487" s="23"/>
      <c r="F487" s="24"/>
      <c r="G487" s="24"/>
    </row>
    <row r="488" spans="2:7" ht="15.75" customHeight="1" x14ac:dyDescent="0.25">
      <c r="B488" s="23"/>
      <c r="C488" s="23"/>
      <c r="D488" s="23"/>
      <c r="E488" s="23"/>
      <c r="F488" s="24"/>
      <c r="G488" s="24"/>
    </row>
    <row r="489" spans="2:7" ht="15.75" customHeight="1" x14ac:dyDescent="0.25">
      <c r="B489" s="23"/>
      <c r="C489" s="23"/>
      <c r="D489" s="23"/>
      <c r="E489" s="23"/>
      <c r="F489" s="24"/>
      <c r="G489" s="24"/>
    </row>
    <row r="490" spans="2:7" ht="15.75" customHeight="1" x14ac:dyDescent="0.25">
      <c r="B490" s="23"/>
      <c r="C490" s="23"/>
      <c r="D490" s="23"/>
      <c r="E490" s="23"/>
      <c r="F490" s="24"/>
      <c r="G490" s="24"/>
    </row>
    <row r="491" spans="2:7" ht="15.75" customHeight="1" x14ac:dyDescent="0.25">
      <c r="B491" s="23"/>
      <c r="C491" s="23"/>
      <c r="D491" s="23"/>
      <c r="E491" s="23"/>
      <c r="F491" s="24"/>
      <c r="G491" s="24"/>
    </row>
    <row r="492" spans="2:7" ht="15.75" customHeight="1" x14ac:dyDescent="0.25">
      <c r="B492" s="23"/>
      <c r="C492" s="23"/>
      <c r="D492" s="23"/>
      <c r="E492" s="23"/>
      <c r="F492" s="24"/>
      <c r="G492" s="24"/>
    </row>
    <row r="493" spans="2:7" ht="15.75" customHeight="1" x14ac:dyDescent="0.25">
      <c r="B493" s="23"/>
      <c r="C493" s="23"/>
      <c r="D493" s="23"/>
      <c r="E493" s="23"/>
      <c r="F493" s="24"/>
      <c r="G493" s="24"/>
    </row>
    <row r="494" spans="2:7" ht="15.75" customHeight="1" x14ac:dyDescent="0.25">
      <c r="B494" s="23"/>
      <c r="C494" s="23"/>
      <c r="D494" s="23"/>
      <c r="E494" s="23"/>
      <c r="F494" s="24"/>
      <c r="G494" s="24"/>
    </row>
    <row r="495" spans="2:7" ht="15.75" customHeight="1" x14ac:dyDescent="0.25">
      <c r="B495" s="23"/>
      <c r="C495" s="23"/>
      <c r="D495" s="23"/>
      <c r="E495" s="23"/>
      <c r="F495" s="24"/>
      <c r="G495" s="24"/>
    </row>
    <row r="496" spans="2:7" ht="15.75" customHeight="1" x14ac:dyDescent="0.25">
      <c r="B496" s="23"/>
      <c r="C496" s="23"/>
      <c r="D496" s="23"/>
      <c r="E496" s="23"/>
      <c r="F496" s="24"/>
      <c r="G496" s="24"/>
    </row>
    <row r="497" spans="2:7" ht="15.75" customHeight="1" x14ac:dyDescent="0.25">
      <c r="B497" s="23"/>
      <c r="C497" s="23"/>
      <c r="D497" s="23"/>
      <c r="E497" s="23"/>
      <c r="F497" s="24"/>
      <c r="G497" s="24"/>
    </row>
    <row r="498" spans="2:7" ht="15.75" customHeight="1" x14ac:dyDescent="0.25">
      <c r="B498" s="23"/>
      <c r="C498" s="23"/>
      <c r="D498" s="23"/>
      <c r="E498" s="23"/>
      <c r="F498" s="24"/>
      <c r="G498" s="24"/>
    </row>
    <row r="499" spans="2:7" ht="15.75" customHeight="1" x14ac:dyDescent="0.25">
      <c r="B499" s="23"/>
      <c r="C499" s="23"/>
      <c r="D499" s="23"/>
      <c r="E499" s="23"/>
      <c r="F499" s="24"/>
      <c r="G499" s="24"/>
    </row>
    <row r="500" spans="2:7" ht="15.75" customHeight="1" x14ac:dyDescent="0.25">
      <c r="B500" s="23"/>
      <c r="C500" s="23"/>
      <c r="D500" s="23"/>
      <c r="E500" s="23"/>
      <c r="F500" s="24"/>
      <c r="G500" s="24"/>
    </row>
    <row r="501" spans="2:7" ht="15.75" customHeight="1" x14ac:dyDescent="0.25">
      <c r="B501" s="23"/>
      <c r="C501" s="23"/>
      <c r="D501" s="23"/>
      <c r="E501" s="23"/>
      <c r="F501" s="24"/>
      <c r="G501" s="24"/>
    </row>
    <row r="502" spans="2:7" ht="15.75" customHeight="1" x14ac:dyDescent="0.25">
      <c r="B502" s="23"/>
      <c r="C502" s="23"/>
      <c r="D502" s="23"/>
      <c r="E502" s="23"/>
      <c r="F502" s="24"/>
      <c r="G502" s="24"/>
    </row>
    <row r="503" spans="2:7" ht="15.75" customHeight="1" x14ac:dyDescent="0.25">
      <c r="B503" s="23"/>
      <c r="C503" s="23"/>
      <c r="D503" s="23"/>
      <c r="E503" s="23"/>
      <c r="F503" s="24"/>
      <c r="G503" s="24"/>
    </row>
    <row r="504" spans="2:7" ht="15.75" customHeight="1" x14ac:dyDescent="0.25">
      <c r="B504" s="23"/>
      <c r="C504" s="23"/>
      <c r="D504" s="23"/>
      <c r="E504" s="23"/>
      <c r="F504" s="24"/>
      <c r="G504" s="24"/>
    </row>
    <row r="505" spans="2:7" ht="15.75" customHeight="1" x14ac:dyDescent="0.25">
      <c r="B505" s="23"/>
      <c r="C505" s="23"/>
      <c r="D505" s="23"/>
      <c r="E505" s="23"/>
      <c r="F505" s="24"/>
      <c r="G505" s="24"/>
    </row>
    <row r="506" spans="2:7" ht="15.75" customHeight="1" x14ac:dyDescent="0.25">
      <c r="B506" s="23"/>
      <c r="C506" s="23"/>
      <c r="D506" s="23"/>
      <c r="E506" s="23"/>
      <c r="F506" s="24"/>
      <c r="G506" s="24"/>
    </row>
    <row r="507" spans="2:7" ht="15.75" customHeight="1" x14ac:dyDescent="0.25">
      <c r="B507" s="23"/>
      <c r="C507" s="23"/>
      <c r="D507" s="23"/>
      <c r="E507" s="23"/>
      <c r="F507" s="24"/>
      <c r="G507" s="24"/>
    </row>
    <row r="508" spans="2:7" ht="15.75" customHeight="1" x14ac:dyDescent="0.25">
      <c r="B508" s="23"/>
      <c r="C508" s="23"/>
      <c r="D508" s="23"/>
      <c r="E508" s="23"/>
      <c r="F508" s="24"/>
      <c r="G508" s="24"/>
    </row>
    <row r="509" spans="2:7" ht="15.75" customHeight="1" x14ac:dyDescent="0.25">
      <c r="B509" s="23"/>
      <c r="C509" s="23"/>
      <c r="D509" s="23"/>
      <c r="E509" s="23"/>
      <c r="F509" s="24"/>
      <c r="G509" s="24"/>
    </row>
    <row r="510" spans="2:7" ht="15.75" customHeight="1" x14ac:dyDescent="0.25">
      <c r="B510" s="23"/>
      <c r="C510" s="23"/>
      <c r="D510" s="23"/>
      <c r="E510" s="23"/>
      <c r="F510" s="24"/>
      <c r="G510" s="24"/>
    </row>
    <row r="511" spans="2:7" ht="15.75" customHeight="1" x14ac:dyDescent="0.25">
      <c r="B511" s="23"/>
      <c r="C511" s="23"/>
      <c r="D511" s="23"/>
      <c r="E511" s="23"/>
      <c r="F511" s="24"/>
      <c r="G511" s="24"/>
    </row>
    <row r="512" spans="2:7" ht="15.75" customHeight="1" x14ac:dyDescent="0.25">
      <c r="B512" s="23"/>
      <c r="C512" s="23"/>
      <c r="D512" s="23"/>
      <c r="E512" s="23"/>
      <c r="F512" s="24"/>
      <c r="G512" s="24"/>
    </row>
    <row r="513" spans="2:7" ht="15.75" customHeight="1" x14ac:dyDescent="0.25">
      <c r="B513" s="23"/>
      <c r="C513" s="23"/>
      <c r="D513" s="23"/>
      <c r="E513" s="23"/>
      <c r="F513" s="24"/>
      <c r="G513" s="24"/>
    </row>
    <row r="514" spans="2:7" ht="15.75" customHeight="1" x14ac:dyDescent="0.25">
      <c r="B514" s="23"/>
      <c r="C514" s="23"/>
      <c r="D514" s="23"/>
      <c r="E514" s="23"/>
      <c r="F514" s="24"/>
      <c r="G514" s="24"/>
    </row>
    <row r="515" spans="2:7" ht="15.75" customHeight="1" x14ac:dyDescent="0.25">
      <c r="B515" s="23"/>
      <c r="C515" s="23"/>
      <c r="D515" s="23"/>
      <c r="E515" s="23"/>
      <c r="F515" s="24"/>
      <c r="G515" s="24"/>
    </row>
    <row r="516" spans="2:7" ht="15.75" customHeight="1" x14ac:dyDescent="0.25">
      <c r="B516" s="23"/>
      <c r="C516" s="23"/>
      <c r="D516" s="23"/>
      <c r="E516" s="23"/>
      <c r="F516" s="24"/>
      <c r="G516" s="24"/>
    </row>
    <row r="517" spans="2:7" ht="15.75" customHeight="1" x14ac:dyDescent="0.25">
      <c r="B517" s="23"/>
      <c r="C517" s="23"/>
      <c r="D517" s="23"/>
      <c r="E517" s="23"/>
      <c r="F517" s="24"/>
      <c r="G517" s="24"/>
    </row>
    <row r="518" spans="2:7" ht="15.75" customHeight="1" x14ac:dyDescent="0.25">
      <c r="B518" s="23"/>
      <c r="C518" s="23"/>
      <c r="D518" s="23"/>
      <c r="E518" s="23"/>
      <c r="F518" s="24"/>
      <c r="G518" s="24"/>
    </row>
    <row r="519" spans="2:7" ht="15.75" customHeight="1" x14ac:dyDescent="0.25">
      <c r="B519" s="23"/>
      <c r="C519" s="23"/>
      <c r="D519" s="23"/>
      <c r="E519" s="23"/>
      <c r="F519" s="24"/>
      <c r="G519" s="24"/>
    </row>
    <row r="520" spans="2:7" ht="15.75" customHeight="1" x14ac:dyDescent="0.25">
      <c r="B520" s="23"/>
      <c r="C520" s="23"/>
      <c r="D520" s="23"/>
      <c r="E520" s="23"/>
      <c r="F520" s="24"/>
      <c r="G520" s="24"/>
    </row>
    <row r="521" spans="2:7" ht="15.75" customHeight="1" x14ac:dyDescent="0.25">
      <c r="B521" s="23"/>
      <c r="C521" s="23"/>
      <c r="D521" s="23"/>
      <c r="E521" s="23"/>
      <c r="F521" s="24"/>
      <c r="G521" s="24"/>
    </row>
    <row r="522" spans="2:7" ht="15.75" customHeight="1" x14ac:dyDescent="0.25">
      <c r="B522" s="23"/>
      <c r="C522" s="23"/>
      <c r="D522" s="23"/>
      <c r="E522" s="23"/>
      <c r="F522" s="24"/>
      <c r="G522" s="24"/>
    </row>
    <row r="523" spans="2:7" ht="15.75" customHeight="1" x14ac:dyDescent="0.25">
      <c r="B523" s="23"/>
      <c r="C523" s="23"/>
      <c r="D523" s="23"/>
      <c r="E523" s="23"/>
      <c r="F523" s="24"/>
      <c r="G523" s="24"/>
    </row>
    <row r="524" spans="2:7" ht="15.75" customHeight="1" x14ac:dyDescent="0.25">
      <c r="B524" s="23"/>
      <c r="C524" s="23"/>
      <c r="D524" s="23"/>
      <c r="E524" s="23"/>
      <c r="F524" s="24"/>
      <c r="G524" s="24"/>
    </row>
    <row r="525" spans="2:7" ht="15.75" customHeight="1" x14ac:dyDescent="0.25">
      <c r="B525" s="23"/>
      <c r="C525" s="23"/>
      <c r="D525" s="23"/>
      <c r="E525" s="23"/>
      <c r="F525" s="24"/>
      <c r="G525" s="24"/>
    </row>
    <row r="526" spans="2:7" ht="15.75" customHeight="1" x14ac:dyDescent="0.25">
      <c r="B526" s="23"/>
      <c r="C526" s="23"/>
      <c r="D526" s="23"/>
      <c r="E526" s="23"/>
      <c r="F526" s="24"/>
      <c r="G526" s="24"/>
    </row>
    <row r="527" spans="2:7" ht="15.75" customHeight="1" x14ac:dyDescent="0.25">
      <c r="B527" s="23"/>
      <c r="C527" s="23"/>
      <c r="D527" s="23"/>
      <c r="E527" s="23"/>
      <c r="F527" s="24"/>
      <c r="G527" s="24"/>
    </row>
    <row r="528" spans="2:7" ht="15.75" customHeight="1" x14ac:dyDescent="0.25">
      <c r="B528" s="23"/>
      <c r="C528" s="23"/>
      <c r="D528" s="23"/>
      <c r="E528" s="23"/>
      <c r="F528" s="24"/>
      <c r="G528" s="24"/>
    </row>
    <row r="529" spans="2:7" ht="15.75" customHeight="1" x14ac:dyDescent="0.25">
      <c r="B529" s="23"/>
      <c r="C529" s="23"/>
      <c r="D529" s="23"/>
      <c r="E529" s="23"/>
      <c r="F529" s="24"/>
      <c r="G529" s="24"/>
    </row>
    <row r="530" spans="2:7" ht="15.75" customHeight="1" x14ac:dyDescent="0.25">
      <c r="B530" s="23"/>
      <c r="C530" s="23"/>
      <c r="D530" s="23"/>
      <c r="E530" s="23"/>
      <c r="F530" s="24"/>
      <c r="G530" s="24"/>
    </row>
    <row r="531" spans="2:7" ht="15.75" customHeight="1" x14ac:dyDescent="0.25">
      <c r="B531" s="23"/>
      <c r="C531" s="23"/>
      <c r="D531" s="23"/>
      <c r="E531" s="23"/>
      <c r="F531" s="24"/>
      <c r="G531" s="24"/>
    </row>
    <row r="532" spans="2:7" ht="15.75" customHeight="1" x14ac:dyDescent="0.25">
      <c r="B532" s="23"/>
      <c r="C532" s="23"/>
      <c r="D532" s="23"/>
      <c r="E532" s="23"/>
      <c r="F532" s="24"/>
      <c r="G532" s="24"/>
    </row>
    <row r="533" spans="2:7" ht="15.75" customHeight="1" x14ac:dyDescent="0.25">
      <c r="B533" s="23"/>
      <c r="C533" s="23"/>
      <c r="D533" s="23"/>
      <c r="E533" s="23"/>
      <c r="F533" s="24"/>
      <c r="G533" s="24"/>
    </row>
    <row r="534" spans="2:7" ht="15.75" customHeight="1" x14ac:dyDescent="0.25">
      <c r="B534" s="23"/>
      <c r="C534" s="23"/>
      <c r="D534" s="23"/>
      <c r="E534" s="23"/>
      <c r="F534" s="24"/>
      <c r="G534" s="24"/>
    </row>
    <row r="535" spans="2:7" ht="15.75" customHeight="1" x14ac:dyDescent="0.25">
      <c r="B535" s="23"/>
      <c r="C535" s="23"/>
      <c r="D535" s="23"/>
      <c r="E535" s="23"/>
      <c r="F535" s="24"/>
      <c r="G535" s="24"/>
    </row>
    <row r="536" spans="2:7" ht="15.75" customHeight="1" x14ac:dyDescent="0.25">
      <c r="B536" s="23"/>
      <c r="C536" s="23"/>
      <c r="D536" s="23"/>
      <c r="E536" s="23"/>
      <c r="F536" s="24"/>
      <c r="G536" s="24"/>
    </row>
    <row r="537" spans="2:7" ht="15.75" customHeight="1" x14ac:dyDescent="0.25">
      <c r="B537" s="23"/>
      <c r="C537" s="23"/>
      <c r="D537" s="23"/>
      <c r="E537" s="23"/>
      <c r="F537" s="24"/>
      <c r="G537" s="24"/>
    </row>
    <row r="538" spans="2:7" ht="15.75" customHeight="1" x14ac:dyDescent="0.25">
      <c r="B538" s="23"/>
      <c r="C538" s="23"/>
      <c r="D538" s="23"/>
      <c r="E538" s="23"/>
      <c r="F538" s="24"/>
      <c r="G538" s="24"/>
    </row>
    <row r="539" spans="2:7" ht="15.75" customHeight="1" x14ac:dyDescent="0.25">
      <c r="B539" s="23"/>
      <c r="C539" s="23"/>
      <c r="D539" s="23"/>
      <c r="E539" s="23"/>
      <c r="F539" s="24"/>
      <c r="G539" s="24"/>
    </row>
    <row r="540" spans="2:7" ht="15.75" customHeight="1" x14ac:dyDescent="0.25">
      <c r="B540" s="23"/>
      <c r="C540" s="23"/>
      <c r="D540" s="23"/>
      <c r="E540" s="23"/>
      <c r="F540" s="24"/>
      <c r="G540" s="24"/>
    </row>
    <row r="541" spans="2:7" ht="15.75" customHeight="1" x14ac:dyDescent="0.25">
      <c r="B541" s="23"/>
      <c r="C541" s="23"/>
      <c r="D541" s="23"/>
      <c r="E541" s="23"/>
      <c r="F541" s="24"/>
      <c r="G541" s="24"/>
    </row>
    <row r="542" spans="2:7" ht="15.75" customHeight="1" x14ac:dyDescent="0.25">
      <c r="B542" s="23"/>
      <c r="C542" s="23"/>
      <c r="D542" s="23"/>
      <c r="E542" s="23"/>
      <c r="F542" s="24"/>
      <c r="G542" s="24"/>
    </row>
    <row r="543" spans="2:7" ht="15.75" customHeight="1" x14ac:dyDescent="0.25">
      <c r="B543" s="23"/>
      <c r="C543" s="23"/>
      <c r="D543" s="23"/>
      <c r="E543" s="23"/>
      <c r="F543" s="24"/>
      <c r="G543" s="24"/>
    </row>
    <row r="544" spans="2:7" ht="15.75" customHeight="1" x14ac:dyDescent="0.25">
      <c r="B544" s="23"/>
      <c r="C544" s="23"/>
      <c r="D544" s="23"/>
      <c r="E544" s="23"/>
      <c r="F544" s="24"/>
      <c r="G544" s="24"/>
    </row>
    <row r="545" spans="2:7" ht="15.75" customHeight="1" x14ac:dyDescent="0.25">
      <c r="B545" s="23"/>
      <c r="C545" s="23"/>
      <c r="D545" s="23"/>
      <c r="E545" s="23"/>
      <c r="F545" s="24"/>
      <c r="G545" s="24"/>
    </row>
    <row r="546" spans="2:7" ht="15.75" customHeight="1" x14ac:dyDescent="0.25">
      <c r="B546" s="23"/>
      <c r="C546" s="23"/>
      <c r="D546" s="23"/>
      <c r="E546" s="23"/>
      <c r="F546" s="24"/>
      <c r="G546" s="24"/>
    </row>
    <row r="547" spans="2:7" ht="15.75" customHeight="1" x14ac:dyDescent="0.25">
      <c r="B547" s="23"/>
      <c r="C547" s="23"/>
      <c r="D547" s="23"/>
      <c r="E547" s="23"/>
      <c r="F547" s="24"/>
      <c r="G547" s="24"/>
    </row>
    <row r="548" spans="2:7" ht="15.75" customHeight="1" x14ac:dyDescent="0.25">
      <c r="B548" s="23"/>
      <c r="C548" s="23"/>
      <c r="D548" s="23"/>
      <c r="E548" s="23"/>
      <c r="F548" s="24"/>
      <c r="G548" s="24"/>
    </row>
    <row r="549" spans="2:7" ht="15.75" customHeight="1" x14ac:dyDescent="0.25">
      <c r="B549" s="23"/>
      <c r="C549" s="23"/>
      <c r="D549" s="23"/>
      <c r="E549" s="23"/>
      <c r="F549" s="24"/>
      <c r="G549" s="24"/>
    </row>
    <row r="550" spans="2:7" ht="15.75" customHeight="1" x14ac:dyDescent="0.25">
      <c r="B550" s="23"/>
      <c r="C550" s="23"/>
      <c r="D550" s="23"/>
      <c r="E550" s="23"/>
      <c r="F550" s="24"/>
      <c r="G550" s="24"/>
    </row>
    <row r="551" spans="2:7" ht="15.75" customHeight="1" x14ac:dyDescent="0.25">
      <c r="B551" s="23"/>
      <c r="C551" s="23"/>
      <c r="D551" s="23"/>
      <c r="E551" s="23"/>
      <c r="F551" s="24"/>
      <c r="G551" s="24"/>
    </row>
    <row r="552" spans="2:7" ht="15.75" customHeight="1" x14ac:dyDescent="0.25">
      <c r="B552" s="23"/>
      <c r="C552" s="23"/>
      <c r="D552" s="23"/>
      <c r="E552" s="23"/>
      <c r="F552" s="24"/>
      <c r="G552" s="24"/>
    </row>
    <row r="553" spans="2:7" ht="15.75" customHeight="1" x14ac:dyDescent="0.25">
      <c r="B553" s="23"/>
      <c r="C553" s="23"/>
      <c r="D553" s="23"/>
      <c r="E553" s="23"/>
      <c r="F553" s="24"/>
      <c r="G553" s="24"/>
    </row>
    <row r="554" spans="2:7" ht="15.75" customHeight="1" x14ac:dyDescent="0.25">
      <c r="B554" s="23"/>
      <c r="C554" s="23"/>
      <c r="D554" s="23"/>
      <c r="E554" s="23"/>
      <c r="F554" s="24"/>
      <c r="G554" s="24"/>
    </row>
    <row r="555" spans="2:7" ht="15.75" customHeight="1" x14ac:dyDescent="0.25">
      <c r="B555" s="23"/>
      <c r="C555" s="23"/>
      <c r="D555" s="23"/>
      <c r="E555" s="23"/>
      <c r="F555" s="24"/>
      <c r="G555" s="24"/>
    </row>
    <row r="556" spans="2:7" ht="15.75" customHeight="1" x14ac:dyDescent="0.25">
      <c r="B556" s="23"/>
      <c r="C556" s="23"/>
      <c r="D556" s="23"/>
      <c r="E556" s="23"/>
      <c r="F556" s="24"/>
      <c r="G556" s="24"/>
    </row>
    <row r="557" spans="2:7" ht="15.75" customHeight="1" x14ac:dyDescent="0.25">
      <c r="B557" s="23"/>
      <c r="C557" s="23"/>
      <c r="D557" s="23"/>
      <c r="E557" s="23"/>
      <c r="F557" s="24"/>
      <c r="G557" s="24"/>
    </row>
    <row r="558" spans="2:7" ht="15.75" customHeight="1" x14ac:dyDescent="0.25">
      <c r="B558" s="23"/>
      <c r="C558" s="23"/>
      <c r="D558" s="23"/>
      <c r="E558" s="23"/>
      <c r="F558" s="24"/>
      <c r="G558" s="24"/>
    </row>
    <row r="559" spans="2:7" ht="15.75" customHeight="1" x14ac:dyDescent="0.25">
      <c r="B559" s="23"/>
      <c r="C559" s="23"/>
      <c r="D559" s="23"/>
      <c r="E559" s="23"/>
      <c r="F559" s="24"/>
      <c r="G559" s="24"/>
    </row>
    <row r="560" spans="2:7" ht="15.75" customHeight="1" x14ac:dyDescent="0.25">
      <c r="B560" s="23"/>
      <c r="C560" s="23"/>
      <c r="D560" s="23"/>
      <c r="E560" s="23"/>
      <c r="F560" s="24"/>
      <c r="G560" s="24"/>
    </row>
    <row r="561" spans="2:7" ht="15.75" customHeight="1" x14ac:dyDescent="0.25">
      <c r="B561" s="23"/>
      <c r="C561" s="23"/>
      <c r="D561" s="23"/>
      <c r="E561" s="23"/>
      <c r="F561" s="24"/>
      <c r="G561" s="24"/>
    </row>
    <row r="562" spans="2:7" ht="15.75" customHeight="1" x14ac:dyDescent="0.25">
      <c r="B562" s="23"/>
      <c r="C562" s="23"/>
      <c r="D562" s="23"/>
      <c r="E562" s="23"/>
      <c r="F562" s="24"/>
      <c r="G562" s="24"/>
    </row>
    <row r="563" spans="2:7" ht="15.75" customHeight="1" x14ac:dyDescent="0.25">
      <c r="B563" s="23"/>
      <c r="C563" s="23"/>
      <c r="D563" s="23"/>
      <c r="E563" s="23"/>
      <c r="F563" s="24"/>
      <c r="G563" s="24"/>
    </row>
    <row r="564" spans="2:7" ht="15.75" customHeight="1" x14ac:dyDescent="0.25">
      <c r="B564" s="23"/>
      <c r="C564" s="23"/>
      <c r="D564" s="23"/>
      <c r="E564" s="23"/>
      <c r="F564" s="24"/>
      <c r="G564" s="24"/>
    </row>
    <row r="565" spans="2:7" ht="15.75" customHeight="1" x14ac:dyDescent="0.25">
      <c r="B565" s="23"/>
      <c r="C565" s="23"/>
      <c r="D565" s="23"/>
      <c r="E565" s="23"/>
      <c r="F565" s="24"/>
      <c r="G565" s="24"/>
    </row>
    <row r="566" spans="2:7" ht="15.75" customHeight="1" x14ac:dyDescent="0.25">
      <c r="B566" s="23"/>
      <c r="C566" s="23"/>
      <c r="D566" s="23"/>
      <c r="E566" s="23"/>
      <c r="F566" s="24"/>
      <c r="G566" s="24"/>
    </row>
    <row r="567" spans="2:7" ht="15.75" customHeight="1" x14ac:dyDescent="0.25">
      <c r="B567" s="23"/>
      <c r="C567" s="23"/>
      <c r="D567" s="23"/>
      <c r="E567" s="23"/>
      <c r="F567" s="24"/>
      <c r="G567" s="24"/>
    </row>
    <row r="568" spans="2:7" ht="15.75" customHeight="1" x14ac:dyDescent="0.25">
      <c r="B568" s="23"/>
      <c r="C568" s="23"/>
      <c r="D568" s="23"/>
      <c r="E568" s="23"/>
      <c r="F568" s="24"/>
      <c r="G568" s="24"/>
    </row>
    <row r="569" spans="2:7" ht="15.75" customHeight="1" x14ac:dyDescent="0.25">
      <c r="B569" s="23"/>
      <c r="C569" s="23"/>
      <c r="D569" s="23"/>
      <c r="E569" s="23"/>
      <c r="F569" s="24"/>
      <c r="G569" s="24"/>
    </row>
    <row r="570" spans="2:7" ht="15.75" customHeight="1" x14ac:dyDescent="0.25">
      <c r="B570" s="23"/>
      <c r="C570" s="23"/>
      <c r="D570" s="23"/>
      <c r="E570" s="23"/>
      <c r="F570" s="24"/>
      <c r="G570" s="24"/>
    </row>
    <row r="571" spans="2:7" ht="15.75" customHeight="1" x14ac:dyDescent="0.25">
      <c r="B571" s="23"/>
      <c r="C571" s="23"/>
      <c r="D571" s="23"/>
      <c r="E571" s="23"/>
      <c r="F571" s="24"/>
      <c r="G571" s="24"/>
    </row>
    <row r="572" spans="2:7" ht="15.75" customHeight="1" x14ac:dyDescent="0.25">
      <c r="B572" s="23"/>
      <c r="C572" s="23"/>
      <c r="D572" s="23"/>
      <c r="E572" s="23"/>
      <c r="F572" s="24"/>
      <c r="G572" s="24"/>
    </row>
    <row r="573" spans="2:7" ht="15.75" customHeight="1" x14ac:dyDescent="0.25">
      <c r="B573" s="23"/>
      <c r="C573" s="23"/>
      <c r="D573" s="23"/>
      <c r="E573" s="23"/>
      <c r="F573" s="24"/>
      <c r="G573" s="24"/>
    </row>
    <row r="574" spans="2:7" ht="15.75" customHeight="1" x14ac:dyDescent="0.25">
      <c r="B574" s="23"/>
      <c r="C574" s="23"/>
      <c r="D574" s="23"/>
      <c r="E574" s="23"/>
      <c r="F574" s="24"/>
      <c r="G574" s="24"/>
    </row>
    <row r="575" spans="2:7" ht="15.75" customHeight="1" x14ac:dyDescent="0.25">
      <c r="B575" s="23"/>
      <c r="C575" s="23"/>
      <c r="D575" s="23"/>
      <c r="E575" s="23"/>
      <c r="F575" s="24"/>
      <c r="G575" s="24"/>
    </row>
    <row r="576" spans="2:7" ht="15.75" customHeight="1" x14ac:dyDescent="0.25">
      <c r="B576" s="23"/>
      <c r="C576" s="23"/>
      <c r="D576" s="23"/>
      <c r="E576" s="23"/>
      <c r="F576" s="24"/>
      <c r="G576" s="24"/>
    </row>
    <row r="577" spans="2:7" ht="15.75" customHeight="1" x14ac:dyDescent="0.25">
      <c r="B577" s="23"/>
      <c r="C577" s="23"/>
      <c r="D577" s="23"/>
      <c r="E577" s="23"/>
      <c r="F577" s="24"/>
      <c r="G577" s="24"/>
    </row>
    <row r="578" spans="2:7" ht="15.75" customHeight="1" x14ac:dyDescent="0.25">
      <c r="B578" s="23"/>
      <c r="C578" s="23"/>
      <c r="D578" s="23"/>
      <c r="E578" s="23"/>
      <c r="F578" s="24"/>
      <c r="G578" s="24"/>
    </row>
    <row r="579" spans="2:7" ht="15.75" customHeight="1" x14ac:dyDescent="0.25">
      <c r="B579" s="23"/>
      <c r="C579" s="23"/>
      <c r="D579" s="23"/>
      <c r="E579" s="23"/>
      <c r="F579" s="24"/>
      <c r="G579" s="24"/>
    </row>
    <row r="580" spans="2:7" ht="15.75" customHeight="1" x14ac:dyDescent="0.25">
      <c r="B580" s="23"/>
      <c r="C580" s="23"/>
      <c r="D580" s="23"/>
      <c r="E580" s="23"/>
      <c r="F580" s="24"/>
      <c r="G580" s="24"/>
    </row>
    <row r="581" spans="2:7" ht="15.75" customHeight="1" x14ac:dyDescent="0.25">
      <c r="B581" s="23"/>
      <c r="C581" s="23"/>
      <c r="D581" s="23"/>
      <c r="E581" s="23"/>
      <c r="F581" s="24"/>
      <c r="G581" s="24"/>
    </row>
    <row r="582" spans="2:7" ht="15.75" customHeight="1" x14ac:dyDescent="0.25">
      <c r="B582" s="23"/>
      <c r="C582" s="23"/>
      <c r="D582" s="23"/>
      <c r="E582" s="23"/>
      <c r="F582" s="24"/>
      <c r="G582" s="24"/>
    </row>
    <row r="583" spans="2:7" ht="15.75" customHeight="1" x14ac:dyDescent="0.25">
      <c r="B583" s="23"/>
      <c r="C583" s="23"/>
      <c r="D583" s="23"/>
      <c r="E583" s="23"/>
      <c r="F583" s="24"/>
      <c r="G583" s="24"/>
    </row>
    <row r="584" spans="2:7" ht="15.75" customHeight="1" x14ac:dyDescent="0.25">
      <c r="B584" s="23"/>
      <c r="C584" s="23"/>
      <c r="D584" s="23"/>
      <c r="E584" s="23"/>
      <c r="F584" s="24"/>
      <c r="G584" s="24"/>
    </row>
    <row r="585" spans="2:7" ht="15.75" customHeight="1" x14ac:dyDescent="0.25">
      <c r="B585" s="23"/>
      <c r="C585" s="23"/>
      <c r="D585" s="23"/>
      <c r="E585" s="23"/>
      <c r="F585" s="24"/>
      <c r="G585" s="24"/>
    </row>
    <row r="586" spans="2:7" ht="15.75" customHeight="1" x14ac:dyDescent="0.25">
      <c r="B586" s="23"/>
      <c r="C586" s="23"/>
      <c r="D586" s="23"/>
      <c r="E586" s="23"/>
      <c r="F586" s="24"/>
      <c r="G586" s="24"/>
    </row>
    <row r="587" spans="2:7" ht="15.75" customHeight="1" x14ac:dyDescent="0.25">
      <c r="B587" s="23"/>
      <c r="C587" s="23"/>
      <c r="D587" s="23"/>
      <c r="E587" s="23"/>
      <c r="F587" s="24"/>
      <c r="G587" s="24"/>
    </row>
    <row r="588" spans="2:7" ht="15.75" customHeight="1" x14ac:dyDescent="0.25">
      <c r="B588" s="23"/>
      <c r="C588" s="23"/>
      <c r="D588" s="23"/>
      <c r="E588" s="23"/>
      <c r="F588" s="24"/>
      <c r="G588" s="24"/>
    </row>
    <row r="589" spans="2:7" ht="15.75" customHeight="1" x14ac:dyDescent="0.25">
      <c r="B589" s="23"/>
      <c r="C589" s="23"/>
      <c r="D589" s="23"/>
      <c r="E589" s="23"/>
      <c r="F589" s="24"/>
      <c r="G589" s="24"/>
    </row>
    <row r="590" spans="2:7" ht="15.75" customHeight="1" x14ac:dyDescent="0.25">
      <c r="B590" s="23"/>
      <c r="C590" s="23"/>
      <c r="D590" s="23"/>
      <c r="E590" s="23"/>
      <c r="F590" s="24"/>
      <c r="G590" s="24"/>
    </row>
    <row r="591" spans="2:7" ht="15.75" customHeight="1" x14ac:dyDescent="0.25">
      <c r="B591" s="23"/>
      <c r="C591" s="23"/>
      <c r="D591" s="23"/>
      <c r="E591" s="23"/>
      <c r="F591" s="24"/>
      <c r="G591" s="24"/>
    </row>
    <row r="592" spans="2:7" ht="15.75" customHeight="1" x14ac:dyDescent="0.25">
      <c r="B592" s="23"/>
      <c r="C592" s="23"/>
      <c r="D592" s="23"/>
      <c r="E592" s="23"/>
      <c r="F592" s="24"/>
      <c r="G592" s="24"/>
    </row>
    <row r="593" spans="2:7" ht="15.75" customHeight="1" x14ac:dyDescent="0.25">
      <c r="B593" s="23"/>
      <c r="C593" s="23"/>
      <c r="D593" s="23"/>
      <c r="E593" s="23"/>
      <c r="F593" s="24"/>
      <c r="G593" s="24"/>
    </row>
    <row r="594" spans="2:7" ht="15.75" customHeight="1" x14ac:dyDescent="0.25">
      <c r="B594" s="23"/>
      <c r="C594" s="23"/>
      <c r="D594" s="23"/>
      <c r="E594" s="23"/>
      <c r="F594" s="24"/>
      <c r="G594" s="24"/>
    </row>
    <row r="595" spans="2:7" ht="15.75" customHeight="1" x14ac:dyDescent="0.25">
      <c r="B595" s="23"/>
      <c r="C595" s="23"/>
      <c r="D595" s="23"/>
      <c r="E595" s="23"/>
      <c r="F595" s="24"/>
      <c r="G595" s="24"/>
    </row>
    <row r="596" spans="2:7" ht="15.75" customHeight="1" x14ac:dyDescent="0.25">
      <c r="B596" s="23"/>
      <c r="C596" s="23"/>
      <c r="D596" s="23"/>
      <c r="E596" s="23"/>
      <c r="F596" s="24"/>
      <c r="G596" s="24"/>
    </row>
    <row r="597" spans="2:7" ht="15.75" customHeight="1" x14ac:dyDescent="0.25">
      <c r="B597" s="23"/>
      <c r="C597" s="23"/>
      <c r="D597" s="23"/>
      <c r="E597" s="23"/>
      <c r="F597" s="24"/>
      <c r="G597" s="24"/>
    </row>
    <row r="598" spans="2:7" ht="15.75" customHeight="1" x14ac:dyDescent="0.25">
      <c r="B598" s="23"/>
      <c r="C598" s="23"/>
      <c r="D598" s="23"/>
      <c r="E598" s="23"/>
      <c r="F598" s="24"/>
      <c r="G598" s="24"/>
    </row>
    <row r="599" spans="2:7" ht="15.75" customHeight="1" x14ac:dyDescent="0.25">
      <c r="B599" s="23"/>
      <c r="C599" s="23"/>
      <c r="D599" s="23"/>
      <c r="E599" s="23"/>
      <c r="F599" s="24"/>
      <c r="G599" s="24"/>
    </row>
    <row r="600" spans="2:7" ht="15.75" customHeight="1" x14ac:dyDescent="0.25">
      <c r="B600" s="23"/>
      <c r="C600" s="23"/>
      <c r="D600" s="23"/>
      <c r="E600" s="23"/>
      <c r="F600" s="24"/>
      <c r="G600" s="24"/>
    </row>
    <row r="601" spans="2:7" ht="15.75" customHeight="1" x14ac:dyDescent="0.25">
      <c r="B601" s="23"/>
      <c r="C601" s="23"/>
      <c r="D601" s="23"/>
      <c r="E601" s="23"/>
      <c r="F601" s="24"/>
      <c r="G601" s="24"/>
    </row>
    <row r="602" spans="2:7" ht="15.75" customHeight="1" x14ac:dyDescent="0.25">
      <c r="B602" s="23"/>
      <c r="C602" s="23"/>
      <c r="D602" s="23"/>
      <c r="E602" s="23"/>
      <c r="F602" s="24"/>
      <c r="G602" s="24"/>
    </row>
    <row r="603" spans="2:7" ht="15.75" customHeight="1" x14ac:dyDescent="0.25">
      <c r="B603" s="23"/>
      <c r="C603" s="23"/>
      <c r="D603" s="23"/>
      <c r="E603" s="23"/>
      <c r="F603" s="24"/>
      <c r="G603" s="24"/>
    </row>
    <row r="604" spans="2:7" ht="15.75" customHeight="1" x14ac:dyDescent="0.25">
      <c r="B604" s="23"/>
      <c r="C604" s="23"/>
      <c r="D604" s="23"/>
      <c r="E604" s="23"/>
      <c r="F604" s="24"/>
      <c r="G604" s="24"/>
    </row>
    <row r="605" spans="2:7" ht="15.75" customHeight="1" x14ac:dyDescent="0.25">
      <c r="B605" s="23"/>
      <c r="C605" s="23"/>
      <c r="D605" s="23"/>
      <c r="E605" s="23"/>
      <c r="F605" s="24"/>
      <c r="G605" s="24"/>
    </row>
    <row r="606" spans="2:7" ht="15.75" customHeight="1" x14ac:dyDescent="0.25">
      <c r="B606" s="23"/>
      <c r="C606" s="23"/>
      <c r="D606" s="23"/>
      <c r="E606" s="23"/>
      <c r="F606" s="24"/>
      <c r="G606" s="24"/>
    </row>
    <row r="607" spans="2:7" ht="15.75" customHeight="1" x14ac:dyDescent="0.25">
      <c r="B607" s="23"/>
      <c r="C607" s="23"/>
      <c r="D607" s="23"/>
      <c r="E607" s="23"/>
      <c r="F607" s="24"/>
      <c r="G607" s="24"/>
    </row>
    <row r="608" spans="2:7" ht="15.75" customHeight="1" x14ac:dyDescent="0.25">
      <c r="B608" s="23"/>
      <c r="C608" s="23"/>
      <c r="D608" s="23"/>
      <c r="E608" s="23"/>
      <c r="F608" s="24"/>
      <c r="G608" s="24"/>
    </row>
    <row r="609" spans="2:7" ht="15.75" customHeight="1" x14ac:dyDescent="0.25">
      <c r="B609" s="23"/>
      <c r="C609" s="23"/>
      <c r="D609" s="23"/>
      <c r="E609" s="23"/>
      <c r="F609" s="24"/>
      <c r="G609" s="24"/>
    </row>
    <row r="610" spans="2:7" ht="15.75" customHeight="1" x14ac:dyDescent="0.25">
      <c r="B610" s="23"/>
      <c r="C610" s="23"/>
      <c r="D610" s="23"/>
      <c r="E610" s="23"/>
      <c r="F610" s="24"/>
      <c r="G610" s="24"/>
    </row>
    <row r="611" spans="2:7" ht="15.75" customHeight="1" x14ac:dyDescent="0.25">
      <c r="B611" s="23"/>
      <c r="C611" s="23"/>
      <c r="D611" s="23"/>
      <c r="E611" s="23"/>
      <c r="F611" s="24"/>
      <c r="G611" s="24"/>
    </row>
    <row r="612" spans="2:7" ht="15.75" customHeight="1" x14ac:dyDescent="0.25">
      <c r="B612" s="23"/>
      <c r="C612" s="23"/>
      <c r="D612" s="23"/>
      <c r="E612" s="23"/>
      <c r="F612" s="24"/>
      <c r="G612" s="24"/>
    </row>
    <row r="613" spans="2:7" ht="15.75" customHeight="1" x14ac:dyDescent="0.25">
      <c r="B613" s="23"/>
      <c r="C613" s="23"/>
      <c r="D613" s="23"/>
      <c r="E613" s="23"/>
      <c r="F613" s="24"/>
      <c r="G613" s="24"/>
    </row>
    <row r="614" spans="2:7" ht="15.75" customHeight="1" x14ac:dyDescent="0.25">
      <c r="B614" s="23"/>
      <c r="C614" s="23"/>
      <c r="D614" s="23"/>
      <c r="E614" s="23"/>
      <c r="F614" s="24"/>
      <c r="G614" s="24"/>
    </row>
    <row r="615" spans="2:7" ht="15.75" customHeight="1" x14ac:dyDescent="0.25">
      <c r="B615" s="23"/>
      <c r="C615" s="23"/>
      <c r="D615" s="23"/>
      <c r="E615" s="23"/>
      <c r="F615" s="24"/>
      <c r="G615" s="24"/>
    </row>
    <row r="616" spans="2:7" ht="15.75" customHeight="1" x14ac:dyDescent="0.25">
      <c r="B616" s="23"/>
      <c r="C616" s="23"/>
      <c r="D616" s="23"/>
      <c r="E616" s="23"/>
      <c r="F616" s="24"/>
      <c r="G616" s="24"/>
    </row>
    <row r="617" spans="2:7" ht="15.75" customHeight="1" x14ac:dyDescent="0.25">
      <c r="B617" s="23"/>
      <c r="C617" s="23"/>
      <c r="D617" s="23"/>
      <c r="E617" s="23"/>
      <c r="F617" s="24"/>
      <c r="G617" s="24"/>
    </row>
    <row r="618" spans="2:7" ht="15.75" customHeight="1" x14ac:dyDescent="0.25">
      <c r="B618" s="23"/>
      <c r="C618" s="23"/>
      <c r="D618" s="23"/>
      <c r="E618" s="23"/>
      <c r="F618" s="24"/>
      <c r="G618" s="24"/>
    </row>
    <row r="619" spans="2:7" ht="15.75" customHeight="1" x14ac:dyDescent="0.25">
      <c r="B619" s="23"/>
      <c r="C619" s="23"/>
      <c r="D619" s="23"/>
      <c r="E619" s="23"/>
      <c r="F619" s="24"/>
      <c r="G619" s="24"/>
    </row>
    <row r="620" spans="2:7" ht="15.75" customHeight="1" x14ac:dyDescent="0.25">
      <c r="B620" s="23"/>
      <c r="C620" s="23"/>
      <c r="D620" s="23"/>
      <c r="E620" s="23"/>
      <c r="F620" s="24"/>
      <c r="G620" s="24"/>
    </row>
    <row r="621" spans="2:7" ht="15.75" customHeight="1" x14ac:dyDescent="0.25">
      <c r="B621" s="23"/>
      <c r="C621" s="23"/>
      <c r="D621" s="23"/>
      <c r="E621" s="23"/>
      <c r="F621" s="24"/>
      <c r="G621" s="24"/>
    </row>
    <row r="622" spans="2:7" ht="15.75" customHeight="1" x14ac:dyDescent="0.25">
      <c r="B622" s="23"/>
      <c r="C622" s="23"/>
      <c r="D622" s="23"/>
      <c r="E622" s="23"/>
      <c r="F622" s="24"/>
      <c r="G622" s="24"/>
    </row>
    <row r="623" spans="2:7" ht="15.75" customHeight="1" x14ac:dyDescent="0.25">
      <c r="B623" s="23"/>
      <c r="C623" s="23"/>
      <c r="D623" s="23"/>
      <c r="E623" s="23"/>
      <c r="F623" s="24"/>
      <c r="G623" s="24"/>
    </row>
    <row r="624" spans="2:7" ht="15.75" customHeight="1" x14ac:dyDescent="0.25">
      <c r="B624" s="23"/>
      <c r="C624" s="23"/>
      <c r="D624" s="23"/>
      <c r="E624" s="23"/>
      <c r="F624" s="24"/>
      <c r="G624" s="24"/>
    </row>
    <row r="625" spans="2:7" ht="15.75" customHeight="1" x14ac:dyDescent="0.25">
      <c r="B625" s="23"/>
      <c r="C625" s="23"/>
      <c r="D625" s="23"/>
      <c r="E625" s="23"/>
      <c r="F625" s="24"/>
      <c r="G625" s="24"/>
    </row>
    <row r="626" spans="2:7" ht="15.75" customHeight="1" x14ac:dyDescent="0.25">
      <c r="B626" s="23"/>
      <c r="C626" s="23"/>
      <c r="D626" s="23"/>
      <c r="E626" s="23"/>
      <c r="F626" s="24"/>
      <c r="G626" s="24"/>
    </row>
    <row r="627" spans="2:7" ht="15.75" customHeight="1" x14ac:dyDescent="0.25">
      <c r="B627" s="23"/>
      <c r="C627" s="23"/>
      <c r="D627" s="23"/>
      <c r="E627" s="23"/>
      <c r="F627" s="24"/>
      <c r="G627" s="24"/>
    </row>
    <row r="628" spans="2:7" ht="15.75" customHeight="1" x14ac:dyDescent="0.25">
      <c r="B628" s="23"/>
      <c r="C628" s="23"/>
      <c r="D628" s="23"/>
      <c r="E628" s="23"/>
      <c r="F628" s="24"/>
      <c r="G628" s="24"/>
    </row>
    <row r="629" spans="2:7" ht="15.75" customHeight="1" x14ac:dyDescent="0.25">
      <c r="B629" s="23"/>
      <c r="C629" s="23"/>
      <c r="D629" s="23"/>
      <c r="E629" s="23"/>
      <c r="F629" s="24"/>
      <c r="G629" s="24"/>
    </row>
    <row r="630" spans="2:7" ht="15.75" customHeight="1" x14ac:dyDescent="0.25">
      <c r="B630" s="23"/>
      <c r="C630" s="23"/>
      <c r="D630" s="23"/>
      <c r="E630" s="23"/>
      <c r="F630" s="24"/>
      <c r="G630" s="24"/>
    </row>
    <row r="631" spans="2:7" ht="15.75" customHeight="1" x14ac:dyDescent="0.25">
      <c r="B631" s="23"/>
      <c r="C631" s="23"/>
      <c r="D631" s="23"/>
      <c r="E631" s="23"/>
      <c r="F631" s="24"/>
      <c r="G631" s="24"/>
    </row>
    <row r="632" spans="2:7" ht="15.75" customHeight="1" x14ac:dyDescent="0.25">
      <c r="B632" s="23"/>
      <c r="C632" s="23"/>
      <c r="D632" s="23"/>
      <c r="E632" s="23"/>
      <c r="F632" s="24"/>
      <c r="G632" s="24"/>
    </row>
    <row r="633" spans="2:7" ht="15.75" customHeight="1" x14ac:dyDescent="0.25">
      <c r="B633" s="23"/>
      <c r="C633" s="23"/>
      <c r="D633" s="23"/>
      <c r="E633" s="23"/>
      <c r="F633" s="24"/>
      <c r="G633" s="24"/>
    </row>
    <row r="634" spans="2:7" ht="15.75" customHeight="1" x14ac:dyDescent="0.25">
      <c r="B634" s="23"/>
      <c r="C634" s="23"/>
      <c r="D634" s="23"/>
      <c r="E634" s="23"/>
      <c r="F634" s="24"/>
      <c r="G634" s="24"/>
    </row>
    <row r="635" spans="2:7" ht="15.75" customHeight="1" x14ac:dyDescent="0.25">
      <c r="B635" s="23"/>
      <c r="C635" s="23"/>
      <c r="D635" s="23"/>
      <c r="E635" s="23"/>
      <c r="F635" s="24"/>
      <c r="G635" s="24"/>
    </row>
    <row r="636" spans="2:7" ht="15.75" customHeight="1" x14ac:dyDescent="0.25">
      <c r="B636" s="23"/>
      <c r="C636" s="23"/>
      <c r="D636" s="23"/>
      <c r="E636" s="23"/>
      <c r="F636" s="24"/>
      <c r="G636" s="24"/>
    </row>
    <row r="637" spans="2:7" ht="15.75" customHeight="1" x14ac:dyDescent="0.25">
      <c r="B637" s="23"/>
      <c r="C637" s="23"/>
      <c r="D637" s="23"/>
      <c r="E637" s="23"/>
      <c r="F637" s="24"/>
      <c r="G637" s="24"/>
    </row>
    <row r="638" spans="2:7" ht="15.75" customHeight="1" x14ac:dyDescent="0.25">
      <c r="B638" s="23"/>
      <c r="C638" s="23"/>
      <c r="D638" s="23"/>
      <c r="E638" s="23"/>
      <c r="F638" s="24"/>
      <c r="G638" s="24"/>
    </row>
    <row r="639" spans="2:7" ht="15.75" customHeight="1" x14ac:dyDescent="0.25">
      <c r="B639" s="23"/>
      <c r="C639" s="23"/>
      <c r="D639" s="23"/>
      <c r="E639" s="23"/>
      <c r="F639" s="24"/>
      <c r="G639" s="24"/>
    </row>
    <row r="640" spans="2:7" ht="15.75" customHeight="1" x14ac:dyDescent="0.25">
      <c r="B640" s="23"/>
      <c r="C640" s="23"/>
      <c r="D640" s="23"/>
      <c r="E640" s="23"/>
      <c r="F640" s="24"/>
      <c r="G640" s="24"/>
    </row>
    <row r="641" spans="2:7" ht="15.75" customHeight="1" x14ac:dyDescent="0.25">
      <c r="B641" s="23"/>
      <c r="C641" s="23"/>
      <c r="D641" s="23"/>
      <c r="E641" s="23"/>
      <c r="F641" s="24"/>
      <c r="G641" s="24"/>
    </row>
    <row r="642" spans="2:7" ht="15.75" customHeight="1" x14ac:dyDescent="0.25">
      <c r="B642" s="23"/>
      <c r="C642" s="23"/>
      <c r="D642" s="23"/>
      <c r="E642" s="23"/>
      <c r="F642" s="24"/>
      <c r="G642" s="24"/>
    </row>
    <row r="643" spans="2:7" ht="15.75" customHeight="1" x14ac:dyDescent="0.25">
      <c r="B643" s="23"/>
      <c r="C643" s="23"/>
      <c r="D643" s="23"/>
      <c r="E643" s="23"/>
      <c r="F643" s="24"/>
      <c r="G643" s="24"/>
    </row>
    <row r="644" spans="2:7" ht="15.75" customHeight="1" x14ac:dyDescent="0.25">
      <c r="B644" s="23"/>
      <c r="C644" s="23"/>
      <c r="D644" s="23"/>
      <c r="E644" s="23"/>
      <c r="F644" s="24"/>
      <c r="G644" s="24"/>
    </row>
    <row r="645" spans="2:7" ht="15.75" customHeight="1" x14ac:dyDescent="0.25">
      <c r="B645" s="23"/>
      <c r="C645" s="23"/>
      <c r="D645" s="23"/>
      <c r="E645" s="23"/>
      <c r="F645" s="24"/>
      <c r="G645" s="24"/>
    </row>
    <row r="646" spans="2:7" ht="15.75" customHeight="1" x14ac:dyDescent="0.25">
      <c r="B646" s="23"/>
      <c r="C646" s="23"/>
      <c r="D646" s="23"/>
      <c r="E646" s="23"/>
      <c r="F646" s="24"/>
      <c r="G646" s="24"/>
    </row>
    <row r="647" spans="2:7" ht="15.75" customHeight="1" x14ac:dyDescent="0.25">
      <c r="B647" s="23"/>
      <c r="C647" s="23"/>
      <c r="D647" s="23"/>
      <c r="E647" s="23"/>
      <c r="F647" s="24"/>
      <c r="G647" s="24"/>
    </row>
    <row r="648" spans="2:7" ht="15.75" customHeight="1" x14ac:dyDescent="0.25">
      <c r="B648" s="23"/>
      <c r="C648" s="23"/>
      <c r="D648" s="23"/>
      <c r="E648" s="23"/>
      <c r="F648" s="24"/>
      <c r="G648" s="24"/>
    </row>
    <row r="649" spans="2:7" ht="15.75" customHeight="1" x14ac:dyDescent="0.25">
      <c r="B649" s="23"/>
      <c r="C649" s="23"/>
      <c r="D649" s="23"/>
      <c r="E649" s="23"/>
      <c r="F649" s="24"/>
      <c r="G649" s="24"/>
    </row>
    <row r="650" spans="2:7" ht="15.75" customHeight="1" x14ac:dyDescent="0.25">
      <c r="B650" s="23"/>
      <c r="C650" s="23"/>
      <c r="D650" s="23"/>
      <c r="E650" s="23"/>
      <c r="F650" s="24"/>
      <c r="G650" s="24"/>
    </row>
    <row r="651" spans="2:7" ht="15.75" customHeight="1" x14ac:dyDescent="0.25">
      <c r="B651" s="23"/>
      <c r="C651" s="23"/>
      <c r="D651" s="23"/>
      <c r="E651" s="23"/>
      <c r="F651" s="24"/>
      <c r="G651" s="24"/>
    </row>
    <row r="652" spans="2:7" ht="15.75" customHeight="1" x14ac:dyDescent="0.25">
      <c r="B652" s="23"/>
      <c r="C652" s="23"/>
      <c r="D652" s="23"/>
      <c r="E652" s="23"/>
      <c r="F652" s="24"/>
      <c r="G652" s="24"/>
    </row>
    <row r="653" spans="2:7" ht="15.75" customHeight="1" x14ac:dyDescent="0.25">
      <c r="B653" s="23"/>
      <c r="C653" s="23"/>
      <c r="D653" s="23"/>
      <c r="E653" s="23"/>
      <c r="F653" s="24"/>
      <c r="G653" s="24"/>
    </row>
    <row r="654" spans="2:7" ht="15.75" customHeight="1" x14ac:dyDescent="0.25">
      <c r="B654" s="23"/>
      <c r="C654" s="23"/>
      <c r="D654" s="23"/>
      <c r="E654" s="23"/>
      <c r="F654" s="24"/>
      <c r="G654" s="24"/>
    </row>
    <row r="655" spans="2:7" ht="15.75" customHeight="1" x14ac:dyDescent="0.25">
      <c r="B655" s="23"/>
      <c r="C655" s="23"/>
      <c r="D655" s="23"/>
      <c r="E655" s="23"/>
      <c r="F655" s="24"/>
      <c r="G655" s="24"/>
    </row>
    <row r="656" spans="2:7" ht="15.75" customHeight="1" x14ac:dyDescent="0.25">
      <c r="B656" s="23"/>
      <c r="C656" s="23"/>
      <c r="D656" s="23"/>
      <c r="E656" s="23"/>
      <c r="F656" s="24"/>
      <c r="G656" s="24"/>
    </row>
    <row r="657" spans="2:7" ht="15.75" customHeight="1" x14ac:dyDescent="0.25">
      <c r="B657" s="23"/>
      <c r="C657" s="23"/>
      <c r="D657" s="23"/>
      <c r="E657" s="23"/>
      <c r="F657" s="24"/>
      <c r="G657" s="24"/>
    </row>
    <row r="658" spans="2:7" ht="15.75" customHeight="1" x14ac:dyDescent="0.25">
      <c r="B658" s="23"/>
      <c r="C658" s="23"/>
      <c r="D658" s="23"/>
      <c r="E658" s="23"/>
      <c r="F658" s="24"/>
      <c r="G658" s="24"/>
    </row>
    <row r="659" spans="2:7" ht="15.75" customHeight="1" x14ac:dyDescent="0.25">
      <c r="B659" s="23"/>
      <c r="C659" s="23"/>
      <c r="D659" s="23"/>
      <c r="E659" s="23"/>
      <c r="F659" s="24"/>
      <c r="G659" s="24"/>
    </row>
    <row r="660" spans="2:7" ht="15.75" customHeight="1" x14ac:dyDescent="0.25">
      <c r="B660" s="23"/>
      <c r="C660" s="23"/>
      <c r="D660" s="23"/>
      <c r="E660" s="23"/>
      <c r="F660" s="24"/>
      <c r="G660" s="24"/>
    </row>
    <row r="661" spans="2:7" ht="15.75" customHeight="1" x14ac:dyDescent="0.25">
      <c r="B661" s="23"/>
      <c r="C661" s="23"/>
      <c r="D661" s="23"/>
      <c r="E661" s="23"/>
      <c r="F661" s="24"/>
      <c r="G661" s="24"/>
    </row>
    <row r="662" spans="2:7" ht="15.75" customHeight="1" x14ac:dyDescent="0.25">
      <c r="B662" s="23"/>
      <c r="C662" s="23"/>
      <c r="D662" s="23"/>
      <c r="E662" s="23"/>
      <c r="F662" s="24"/>
      <c r="G662" s="24"/>
    </row>
    <row r="663" spans="2:7" ht="15.75" customHeight="1" x14ac:dyDescent="0.25">
      <c r="B663" s="23"/>
      <c r="C663" s="23"/>
      <c r="D663" s="23"/>
      <c r="E663" s="23"/>
      <c r="F663" s="24"/>
      <c r="G663" s="24"/>
    </row>
    <row r="664" spans="2:7" ht="15.75" customHeight="1" x14ac:dyDescent="0.25">
      <c r="B664" s="23"/>
      <c r="C664" s="23"/>
      <c r="D664" s="23"/>
      <c r="E664" s="23"/>
      <c r="F664" s="24"/>
      <c r="G664" s="24"/>
    </row>
    <row r="665" spans="2:7" ht="15.75" customHeight="1" x14ac:dyDescent="0.25">
      <c r="B665" s="23"/>
      <c r="C665" s="23"/>
      <c r="D665" s="23"/>
      <c r="E665" s="23"/>
      <c r="F665" s="24"/>
      <c r="G665" s="24"/>
    </row>
    <row r="666" spans="2:7" ht="15.75" customHeight="1" x14ac:dyDescent="0.25">
      <c r="B666" s="23"/>
      <c r="C666" s="23"/>
      <c r="D666" s="23"/>
      <c r="E666" s="23"/>
      <c r="F666" s="24"/>
      <c r="G666" s="24"/>
    </row>
    <row r="667" spans="2:7" ht="15.75" customHeight="1" x14ac:dyDescent="0.25">
      <c r="B667" s="23"/>
      <c r="C667" s="23"/>
      <c r="D667" s="23"/>
      <c r="E667" s="23"/>
      <c r="F667" s="24"/>
      <c r="G667" s="24"/>
    </row>
    <row r="668" spans="2:7" ht="15.75" customHeight="1" x14ac:dyDescent="0.25">
      <c r="B668" s="23"/>
      <c r="C668" s="23"/>
      <c r="D668" s="23"/>
      <c r="E668" s="23"/>
      <c r="F668" s="24"/>
      <c r="G668" s="24"/>
    </row>
    <row r="669" spans="2:7" ht="15.75" customHeight="1" x14ac:dyDescent="0.25">
      <c r="B669" s="23"/>
      <c r="C669" s="23"/>
      <c r="D669" s="23"/>
      <c r="E669" s="23"/>
      <c r="F669" s="24"/>
      <c r="G669" s="24"/>
    </row>
    <row r="670" spans="2:7" ht="15.75" customHeight="1" x14ac:dyDescent="0.25">
      <c r="B670" s="23"/>
      <c r="C670" s="23"/>
      <c r="D670" s="23"/>
      <c r="E670" s="23"/>
      <c r="F670" s="24"/>
      <c r="G670" s="24"/>
    </row>
    <row r="671" spans="2:7" ht="15.75" customHeight="1" x14ac:dyDescent="0.25">
      <c r="B671" s="23"/>
      <c r="C671" s="23"/>
      <c r="D671" s="23"/>
      <c r="E671" s="23"/>
      <c r="F671" s="24"/>
      <c r="G671" s="24"/>
    </row>
    <row r="672" spans="2:7" ht="15.75" customHeight="1" x14ac:dyDescent="0.25">
      <c r="B672" s="23"/>
      <c r="C672" s="23"/>
      <c r="D672" s="23"/>
      <c r="E672" s="23"/>
      <c r="F672" s="24"/>
      <c r="G672" s="24"/>
    </row>
    <row r="673" spans="2:7" ht="15.75" customHeight="1" x14ac:dyDescent="0.25">
      <c r="B673" s="23"/>
      <c r="C673" s="23"/>
      <c r="D673" s="23"/>
      <c r="E673" s="23"/>
      <c r="F673" s="24"/>
      <c r="G673" s="24"/>
    </row>
    <row r="674" spans="2:7" ht="15.75" customHeight="1" x14ac:dyDescent="0.25">
      <c r="B674" s="23"/>
      <c r="C674" s="23"/>
      <c r="D674" s="23"/>
      <c r="E674" s="23"/>
      <c r="F674" s="24"/>
      <c r="G674" s="24"/>
    </row>
    <row r="675" spans="2:7" ht="15.75" customHeight="1" x14ac:dyDescent="0.25">
      <c r="B675" s="23"/>
      <c r="C675" s="23"/>
      <c r="D675" s="23"/>
      <c r="E675" s="23"/>
      <c r="F675" s="24"/>
      <c r="G675" s="24"/>
    </row>
    <row r="676" spans="2:7" ht="15.75" customHeight="1" x14ac:dyDescent="0.25">
      <c r="B676" s="23"/>
      <c r="C676" s="23"/>
      <c r="D676" s="23"/>
      <c r="E676" s="23"/>
      <c r="F676" s="24"/>
      <c r="G676" s="24"/>
    </row>
    <row r="677" spans="2:7" ht="15.75" customHeight="1" x14ac:dyDescent="0.25">
      <c r="B677" s="23"/>
      <c r="C677" s="23"/>
      <c r="D677" s="23"/>
      <c r="E677" s="23"/>
      <c r="F677" s="24"/>
      <c r="G677" s="24"/>
    </row>
    <row r="678" spans="2:7" ht="15.75" customHeight="1" x14ac:dyDescent="0.25">
      <c r="B678" s="23"/>
      <c r="C678" s="23"/>
      <c r="D678" s="23"/>
      <c r="E678" s="23"/>
      <c r="F678" s="24"/>
      <c r="G678" s="24"/>
    </row>
    <row r="679" spans="2:7" ht="15.75" customHeight="1" x14ac:dyDescent="0.25">
      <c r="B679" s="23"/>
      <c r="C679" s="23"/>
      <c r="D679" s="23"/>
      <c r="E679" s="23"/>
      <c r="F679" s="24"/>
      <c r="G679" s="24"/>
    </row>
    <row r="680" spans="2:7" ht="15.75" customHeight="1" x14ac:dyDescent="0.25">
      <c r="B680" s="23"/>
      <c r="C680" s="23"/>
      <c r="D680" s="23"/>
      <c r="E680" s="23"/>
      <c r="F680" s="24"/>
      <c r="G680" s="24"/>
    </row>
    <row r="681" spans="2:7" ht="15.75" customHeight="1" x14ac:dyDescent="0.25">
      <c r="B681" s="23"/>
      <c r="C681" s="23"/>
      <c r="D681" s="23"/>
      <c r="E681" s="23"/>
      <c r="F681" s="24"/>
      <c r="G681" s="24"/>
    </row>
    <row r="682" spans="2:7" ht="15.75" customHeight="1" x14ac:dyDescent="0.25">
      <c r="B682" s="23"/>
      <c r="C682" s="23"/>
      <c r="D682" s="23"/>
      <c r="E682" s="23"/>
      <c r="F682" s="24"/>
      <c r="G682" s="24"/>
    </row>
    <row r="683" spans="2:7" ht="15.75" customHeight="1" x14ac:dyDescent="0.25">
      <c r="B683" s="23"/>
      <c r="C683" s="23"/>
      <c r="D683" s="23"/>
      <c r="E683" s="23"/>
      <c r="F683" s="24"/>
      <c r="G683" s="24"/>
    </row>
    <row r="684" spans="2:7" ht="15.75" customHeight="1" x14ac:dyDescent="0.25">
      <c r="B684" s="23"/>
      <c r="C684" s="23"/>
      <c r="D684" s="23"/>
      <c r="E684" s="23"/>
      <c r="F684" s="24"/>
      <c r="G684" s="24"/>
    </row>
    <row r="685" spans="2:7" ht="15.75" customHeight="1" x14ac:dyDescent="0.25">
      <c r="B685" s="23"/>
      <c r="C685" s="23"/>
      <c r="D685" s="23"/>
      <c r="E685" s="23"/>
      <c r="F685" s="24"/>
      <c r="G685" s="24"/>
    </row>
    <row r="686" spans="2:7" ht="15.75" customHeight="1" x14ac:dyDescent="0.25">
      <c r="B686" s="23"/>
      <c r="C686" s="23"/>
      <c r="D686" s="23"/>
      <c r="E686" s="23"/>
      <c r="F686" s="24"/>
      <c r="G686" s="24"/>
    </row>
    <row r="687" spans="2:7" ht="15.75" customHeight="1" x14ac:dyDescent="0.25">
      <c r="B687" s="23"/>
      <c r="C687" s="23"/>
      <c r="D687" s="23"/>
      <c r="E687" s="23"/>
      <c r="F687" s="24"/>
      <c r="G687" s="24"/>
    </row>
    <row r="688" spans="2:7" ht="15.75" customHeight="1" x14ac:dyDescent="0.25">
      <c r="B688" s="23"/>
      <c r="C688" s="23"/>
      <c r="D688" s="23"/>
      <c r="E688" s="23"/>
      <c r="F688" s="24"/>
      <c r="G688" s="24"/>
    </row>
    <row r="689" spans="2:7" ht="15.75" customHeight="1" x14ac:dyDescent="0.25">
      <c r="B689" s="23"/>
      <c r="C689" s="23"/>
      <c r="D689" s="23"/>
      <c r="E689" s="23"/>
      <c r="F689" s="24"/>
      <c r="G689" s="24"/>
    </row>
    <row r="690" spans="2:7" ht="15.75" customHeight="1" x14ac:dyDescent="0.25">
      <c r="B690" s="23"/>
      <c r="C690" s="23"/>
      <c r="D690" s="23"/>
      <c r="E690" s="23"/>
      <c r="F690" s="24"/>
      <c r="G690" s="24"/>
    </row>
    <row r="691" spans="2:7" ht="15.75" customHeight="1" x14ac:dyDescent="0.25">
      <c r="B691" s="23"/>
      <c r="C691" s="23"/>
      <c r="D691" s="23"/>
      <c r="E691" s="23"/>
      <c r="F691" s="24"/>
      <c r="G691" s="24"/>
    </row>
    <row r="692" spans="2:7" ht="15.75" customHeight="1" x14ac:dyDescent="0.25">
      <c r="B692" s="23"/>
      <c r="C692" s="23"/>
      <c r="D692" s="23"/>
      <c r="E692" s="23"/>
      <c r="F692" s="24"/>
      <c r="G692" s="24"/>
    </row>
    <row r="693" spans="2:7" ht="15.75" customHeight="1" x14ac:dyDescent="0.25">
      <c r="B693" s="23"/>
      <c r="C693" s="23"/>
      <c r="D693" s="23"/>
      <c r="E693" s="23"/>
      <c r="F693" s="24"/>
      <c r="G693" s="24"/>
    </row>
    <row r="694" spans="2:7" ht="15.75" customHeight="1" x14ac:dyDescent="0.25">
      <c r="B694" s="23"/>
      <c r="C694" s="23"/>
      <c r="D694" s="23"/>
      <c r="E694" s="23"/>
      <c r="F694" s="24"/>
      <c r="G694" s="24"/>
    </row>
    <row r="695" spans="2:7" ht="15.75" customHeight="1" x14ac:dyDescent="0.25">
      <c r="B695" s="23"/>
      <c r="C695" s="23"/>
      <c r="D695" s="23"/>
      <c r="E695" s="23"/>
      <c r="F695" s="24"/>
      <c r="G695" s="24"/>
    </row>
    <row r="696" spans="2:7" ht="15.75" customHeight="1" x14ac:dyDescent="0.25">
      <c r="B696" s="23"/>
      <c r="C696" s="23"/>
      <c r="D696" s="23"/>
      <c r="E696" s="23"/>
      <c r="F696" s="24"/>
      <c r="G696" s="24"/>
    </row>
    <row r="697" spans="2:7" ht="15.75" customHeight="1" x14ac:dyDescent="0.25">
      <c r="B697" s="23"/>
      <c r="C697" s="23"/>
      <c r="D697" s="23"/>
      <c r="E697" s="23"/>
      <c r="F697" s="24"/>
      <c r="G697" s="24"/>
    </row>
    <row r="698" spans="2:7" ht="15.75" customHeight="1" x14ac:dyDescent="0.25">
      <c r="B698" s="23"/>
      <c r="C698" s="23"/>
      <c r="D698" s="23"/>
      <c r="E698" s="23"/>
      <c r="F698" s="24"/>
      <c r="G698" s="24"/>
    </row>
    <row r="699" spans="2:7" ht="15.75" customHeight="1" x14ac:dyDescent="0.25">
      <c r="B699" s="23"/>
      <c r="C699" s="23"/>
      <c r="D699" s="23"/>
      <c r="E699" s="23"/>
      <c r="F699" s="24"/>
      <c r="G699" s="24"/>
    </row>
    <row r="700" spans="2:7" ht="15.75" customHeight="1" x14ac:dyDescent="0.25">
      <c r="B700" s="23"/>
      <c r="C700" s="23"/>
      <c r="D700" s="23"/>
      <c r="E700" s="23"/>
      <c r="F700" s="24"/>
      <c r="G700" s="24"/>
    </row>
    <row r="701" spans="2:7" ht="15.75" customHeight="1" x14ac:dyDescent="0.25">
      <c r="B701" s="23"/>
      <c r="C701" s="23"/>
      <c r="D701" s="23"/>
      <c r="E701" s="23"/>
      <c r="F701" s="24"/>
      <c r="G701" s="24"/>
    </row>
    <row r="702" spans="2:7" ht="15.75" customHeight="1" x14ac:dyDescent="0.25">
      <c r="B702" s="23"/>
      <c r="C702" s="23"/>
      <c r="D702" s="23"/>
      <c r="E702" s="23"/>
      <c r="F702" s="24"/>
      <c r="G702" s="24"/>
    </row>
    <row r="703" spans="2:7" ht="15.75" customHeight="1" x14ac:dyDescent="0.25">
      <c r="B703" s="23"/>
      <c r="C703" s="23"/>
      <c r="D703" s="23"/>
      <c r="E703" s="23"/>
      <c r="F703" s="24"/>
      <c r="G703" s="24"/>
    </row>
    <row r="704" spans="2:7" ht="15.75" customHeight="1" x14ac:dyDescent="0.25">
      <c r="B704" s="23"/>
      <c r="C704" s="23"/>
      <c r="D704" s="23"/>
      <c r="E704" s="23"/>
      <c r="F704" s="24"/>
      <c r="G704" s="24"/>
    </row>
    <row r="705" spans="2:7" ht="15.75" customHeight="1" x14ac:dyDescent="0.25">
      <c r="B705" s="23"/>
      <c r="C705" s="23"/>
      <c r="D705" s="23"/>
      <c r="E705" s="23"/>
      <c r="F705" s="24"/>
      <c r="G705" s="24"/>
    </row>
    <row r="706" spans="2:7" ht="15.75" customHeight="1" x14ac:dyDescent="0.25">
      <c r="B706" s="23"/>
      <c r="C706" s="23"/>
      <c r="D706" s="23"/>
      <c r="E706" s="23"/>
      <c r="F706" s="24"/>
      <c r="G706" s="24"/>
    </row>
    <row r="707" spans="2:7" ht="15.75" customHeight="1" x14ac:dyDescent="0.25">
      <c r="B707" s="23"/>
      <c r="C707" s="23"/>
      <c r="D707" s="23"/>
      <c r="E707" s="23"/>
      <c r="F707" s="24"/>
      <c r="G707" s="24"/>
    </row>
    <row r="708" spans="2:7" ht="15.75" customHeight="1" x14ac:dyDescent="0.25">
      <c r="B708" s="23"/>
      <c r="C708" s="23"/>
      <c r="D708" s="23"/>
      <c r="E708" s="23"/>
      <c r="F708" s="24"/>
      <c r="G708" s="24"/>
    </row>
    <row r="709" spans="2:7" ht="15.75" customHeight="1" x14ac:dyDescent="0.25">
      <c r="B709" s="23"/>
      <c r="C709" s="23"/>
      <c r="D709" s="23"/>
      <c r="E709" s="23"/>
      <c r="F709" s="24"/>
      <c r="G709" s="24"/>
    </row>
    <row r="710" spans="2:7" ht="15.75" customHeight="1" x14ac:dyDescent="0.25">
      <c r="B710" s="23"/>
      <c r="C710" s="23"/>
      <c r="D710" s="23"/>
      <c r="E710" s="23"/>
      <c r="F710" s="24"/>
      <c r="G710" s="24"/>
    </row>
    <row r="711" spans="2:7" ht="15.75" customHeight="1" x14ac:dyDescent="0.25">
      <c r="B711" s="23"/>
      <c r="C711" s="23"/>
      <c r="D711" s="23"/>
      <c r="E711" s="23"/>
      <c r="F711" s="24"/>
      <c r="G711" s="24"/>
    </row>
    <row r="712" spans="2:7" ht="15.75" customHeight="1" x14ac:dyDescent="0.25">
      <c r="B712" s="23"/>
      <c r="C712" s="23"/>
      <c r="D712" s="23"/>
      <c r="E712" s="23"/>
      <c r="F712" s="24"/>
      <c r="G712" s="24"/>
    </row>
    <row r="713" spans="2:7" ht="15.75" customHeight="1" x14ac:dyDescent="0.25">
      <c r="B713" s="23"/>
      <c r="C713" s="23"/>
      <c r="D713" s="23"/>
      <c r="E713" s="23"/>
      <c r="F713" s="24"/>
      <c r="G713" s="24"/>
    </row>
    <row r="714" spans="2:7" ht="15.75" customHeight="1" x14ac:dyDescent="0.25">
      <c r="B714" s="23"/>
      <c r="C714" s="23"/>
      <c r="D714" s="23"/>
      <c r="E714" s="23"/>
      <c r="F714" s="24"/>
      <c r="G714" s="24"/>
    </row>
    <row r="715" spans="2:7" ht="15.75" customHeight="1" x14ac:dyDescent="0.25">
      <c r="B715" s="23"/>
      <c r="C715" s="23"/>
      <c r="D715" s="23"/>
      <c r="E715" s="23"/>
      <c r="F715" s="24"/>
      <c r="G715" s="24"/>
    </row>
    <row r="716" spans="2:7" ht="15.75" customHeight="1" x14ac:dyDescent="0.25">
      <c r="B716" s="23"/>
      <c r="C716" s="23"/>
      <c r="D716" s="23"/>
      <c r="E716" s="23"/>
      <c r="F716" s="24"/>
      <c r="G716" s="24"/>
    </row>
    <row r="717" spans="2:7" ht="15.75" customHeight="1" x14ac:dyDescent="0.25">
      <c r="B717" s="23"/>
      <c r="C717" s="23"/>
      <c r="D717" s="23"/>
      <c r="E717" s="23"/>
      <c r="F717" s="24"/>
      <c r="G717" s="24"/>
    </row>
    <row r="718" spans="2:7" ht="15.75" customHeight="1" x14ac:dyDescent="0.25">
      <c r="B718" s="23"/>
      <c r="C718" s="23"/>
      <c r="D718" s="23"/>
      <c r="E718" s="23"/>
      <c r="F718" s="24"/>
      <c r="G718" s="24"/>
    </row>
    <row r="719" spans="2:7" ht="15.75" customHeight="1" x14ac:dyDescent="0.25">
      <c r="B719" s="23"/>
      <c r="C719" s="23"/>
      <c r="D719" s="23"/>
      <c r="E719" s="23"/>
      <c r="F719" s="24"/>
      <c r="G719" s="24"/>
    </row>
    <row r="720" spans="2:7" ht="15.75" customHeight="1" x14ac:dyDescent="0.25">
      <c r="B720" s="23"/>
      <c r="C720" s="23"/>
      <c r="D720" s="23"/>
      <c r="E720" s="23"/>
      <c r="F720" s="24"/>
      <c r="G720" s="24"/>
    </row>
    <row r="721" spans="2:7" ht="15.75" customHeight="1" x14ac:dyDescent="0.25">
      <c r="B721" s="23"/>
      <c r="C721" s="23"/>
      <c r="D721" s="23"/>
      <c r="E721" s="23"/>
      <c r="F721" s="24"/>
      <c r="G721" s="24"/>
    </row>
    <row r="722" spans="2:7" ht="15.75" customHeight="1" x14ac:dyDescent="0.25">
      <c r="B722" s="23"/>
      <c r="C722" s="23"/>
      <c r="D722" s="23"/>
      <c r="E722" s="23"/>
      <c r="F722" s="24"/>
      <c r="G722" s="24"/>
    </row>
    <row r="723" spans="2:7" ht="15.75" customHeight="1" x14ac:dyDescent="0.25">
      <c r="B723" s="23"/>
      <c r="C723" s="23"/>
      <c r="D723" s="23"/>
      <c r="E723" s="23"/>
      <c r="F723" s="24"/>
      <c r="G723" s="24"/>
    </row>
    <row r="724" spans="2:7" ht="15.75" customHeight="1" x14ac:dyDescent="0.25">
      <c r="B724" s="23"/>
      <c r="C724" s="23"/>
      <c r="D724" s="23"/>
      <c r="E724" s="23"/>
      <c r="F724" s="24"/>
      <c r="G724" s="24"/>
    </row>
    <row r="725" spans="2:7" ht="15.75" customHeight="1" x14ac:dyDescent="0.25">
      <c r="B725" s="23"/>
      <c r="C725" s="23"/>
      <c r="D725" s="23"/>
      <c r="E725" s="23"/>
      <c r="F725" s="24"/>
      <c r="G725" s="24"/>
    </row>
    <row r="726" spans="2:7" ht="15.75" customHeight="1" x14ac:dyDescent="0.25">
      <c r="B726" s="23"/>
      <c r="C726" s="23"/>
      <c r="D726" s="23"/>
      <c r="E726" s="23"/>
      <c r="F726" s="24"/>
      <c r="G726" s="24"/>
    </row>
    <row r="727" spans="2:7" ht="15.75" customHeight="1" x14ac:dyDescent="0.25">
      <c r="B727" s="23"/>
      <c r="C727" s="23"/>
      <c r="D727" s="23"/>
      <c r="E727" s="23"/>
      <c r="F727" s="24"/>
      <c r="G727" s="24"/>
    </row>
    <row r="728" spans="2:7" ht="15.75" customHeight="1" x14ac:dyDescent="0.25">
      <c r="B728" s="23"/>
      <c r="C728" s="23"/>
      <c r="D728" s="23"/>
      <c r="E728" s="23"/>
      <c r="F728" s="24"/>
      <c r="G728" s="24"/>
    </row>
    <row r="729" spans="2:7" ht="15.75" customHeight="1" x14ac:dyDescent="0.25">
      <c r="B729" s="23"/>
      <c r="C729" s="23"/>
      <c r="D729" s="23"/>
      <c r="E729" s="23"/>
      <c r="F729" s="24"/>
      <c r="G729" s="24"/>
    </row>
    <row r="730" spans="2:7" ht="15.75" customHeight="1" x14ac:dyDescent="0.25">
      <c r="B730" s="23"/>
      <c r="C730" s="23"/>
      <c r="D730" s="23"/>
      <c r="E730" s="23"/>
      <c r="F730" s="24"/>
      <c r="G730" s="24"/>
    </row>
    <row r="731" spans="2:7" ht="15.75" customHeight="1" x14ac:dyDescent="0.25">
      <c r="B731" s="23"/>
      <c r="C731" s="23"/>
      <c r="D731" s="23"/>
      <c r="E731" s="23"/>
      <c r="F731" s="24"/>
      <c r="G731" s="24"/>
    </row>
    <row r="732" spans="2:7" ht="15.75" customHeight="1" x14ac:dyDescent="0.25">
      <c r="B732" s="23"/>
      <c r="C732" s="23"/>
      <c r="D732" s="23"/>
      <c r="E732" s="23"/>
      <c r="F732" s="24"/>
      <c r="G732" s="24"/>
    </row>
    <row r="733" spans="2:7" ht="15.75" customHeight="1" x14ac:dyDescent="0.25">
      <c r="B733" s="23"/>
      <c r="C733" s="23"/>
      <c r="D733" s="23"/>
      <c r="E733" s="23"/>
      <c r="F733" s="24"/>
      <c r="G733" s="24"/>
    </row>
    <row r="734" spans="2:7" ht="15.75" customHeight="1" x14ac:dyDescent="0.25">
      <c r="B734" s="23"/>
      <c r="C734" s="23"/>
      <c r="D734" s="23"/>
      <c r="E734" s="23"/>
      <c r="F734" s="24"/>
      <c r="G734" s="24"/>
    </row>
    <row r="735" spans="2:7" ht="15.75" customHeight="1" x14ac:dyDescent="0.25">
      <c r="B735" s="23"/>
      <c r="C735" s="23"/>
      <c r="D735" s="23"/>
      <c r="E735" s="23"/>
      <c r="F735" s="24"/>
      <c r="G735" s="24"/>
    </row>
    <row r="736" spans="2:7" ht="15.75" customHeight="1" x14ac:dyDescent="0.25">
      <c r="B736" s="23"/>
      <c r="C736" s="23"/>
      <c r="D736" s="23"/>
      <c r="E736" s="23"/>
      <c r="F736" s="24"/>
      <c r="G736" s="24"/>
    </row>
    <row r="737" spans="2:7" ht="15.75" customHeight="1" x14ac:dyDescent="0.25">
      <c r="B737" s="23"/>
      <c r="C737" s="23"/>
      <c r="D737" s="23"/>
      <c r="E737" s="23"/>
      <c r="F737" s="24"/>
      <c r="G737" s="24"/>
    </row>
    <row r="738" spans="2:7" ht="15.75" customHeight="1" x14ac:dyDescent="0.25">
      <c r="B738" s="23"/>
      <c r="C738" s="23"/>
      <c r="D738" s="23"/>
      <c r="E738" s="23"/>
      <c r="F738" s="24"/>
      <c r="G738" s="24"/>
    </row>
    <row r="739" spans="2:7" ht="15.75" customHeight="1" x14ac:dyDescent="0.25">
      <c r="B739" s="23"/>
      <c r="C739" s="23"/>
      <c r="D739" s="23"/>
      <c r="E739" s="23"/>
      <c r="F739" s="24"/>
      <c r="G739" s="24"/>
    </row>
    <row r="740" spans="2:7" ht="15.75" customHeight="1" x14ac:dyDescent="0.25">
      <c r="B740" s="23"/>
      <c r="C740" s="23"/>
      <c r="D740" s="23"/>
      <c r="E740" s="23"/>
      <c r="F740" s="24"/>
      <c r="G740" s="24"/>
    </row>
    <row r="741" spans="2:7" ht="15.75" customHeight="1" x14ac:dyDescent="0.25">
      <c r="B741" s="23"/>
      <c r="C741" s="23"/>
      <c r="D741" s="23"/>
      <c r="E741" s="23"/>
      <c r="F741" s="24"/>
      <c r="G741" s="24"/>
    </row>
    <row r="742" spans="2:7" ht="15.75" customHeight="1" x14ac:dyDescent="0.25">
      <c r="B742" s="23"/>
      <c r="C742" s="23"/>
      <c r="D742" s="23"/>
      <c r="E742" s="23"/>
      <c r="F742" s="24"/>
      <c r="G742" s="24"/>
    </row>
    <row r="743" spans="2:7" ht="15.75" customHeight="1" x14ac:dyDescent="0.25">
      <c r="B743" s="23"/>
      <c r="C743" s="23"/>
      <c r="D743" s="23"/>
      <c r="E743" s="23"/>
      <c r="F743" s="24"/>
      <c r="G743" s="24"/>
    </row>
    <row r="744" spans="2:7" ht="15.75" customHeight="1" x14ac:dyDescent="0.25">
      <c r="B744" s="23"/>
      <c r="C744" s="23"/>
      <c r="D744" s="23"/>
      <c r="E744" s="23"/>
      <c r="F744" s="24"/>
      <c r="G744" s="24"/>
    </row>
    <row r="745" spans="2:7" ht="15.75" customHeight="1" x14ac:dyDescent="0.25">
      <c r="B745" s="23"/>
      <c r="C745" s="23"/>
      <c r="D745" s="23"/>
      <c r="E745" s="23"/>
      <c r="F745" s="24"/>
      <c r="G745" s="24"/>
    </row>
    <row r="746" spans="2:7" ht="15.75" customHeight="1" x14ac:dyDescent="0.25">
      <c r="B746" s="23"/>
      <c r="C746" s="23"/>
      <c r="D746" s="23"/>
      <c r="E746" s="23"/>
      <c r="F746" s="24"/>
      <c r="G746" s="24"/>
    </row>
    <row r="747" spans="2:7" ht="15.75" customHeight="1" x14ac:dyDescent="0.25">
      <c r="B747" s="23"/>
      <c r="C747" s="23"/>
      <c r="D747" s="23"/>
      <c r="E747" s="23"/>
      <c r="F747" s="24"/>
      <c r="G747" s="24"/>
    </row>
    <row r="748" spans="2:7" ht="15.75" customHeight="1" x14ac:dyDescent="0.25">
      <c r="B748" s="23"/>
      <c r="C748" s="23"/>
      <c r="D748" s="23"/>
      <c r="E748" s="23"/>
      <c r="F748" s="24"/>
      <c r="G748" s="24"/>
    </row>
    <row r="749" spans="2:7" ht="15.75" customHeight="1" x14ac:dyDescent="0.25">
      <c r="B749" s="23"/>
      <c r="C749" s="23"/>
      <c r="D749" s="23"/>
      <c r="E749" s="23"/>
      <c r="F749" s="24"/>
      <c r="G749" s="24"/>
    </row>
    <row r="750" spans="2:7" ht="15.75" customHeight="1" x14ac:dyDescent="0.25">
      <c r="B750" s="23"/>
      <c r="C750" s="23"/>
      <c r="D750" s="23"/>
      <c r="E750" s="23"/>
      <c r="F750" s="24"/>
      <c r="G750" s="24"/>
    </row>
    <row r="751" spans="2:7" ht="15.75" customHeight="1" x14ac:dyDescent="0.25">
      <c r="B751" s="23"/>
      <c r="C751" s="23"/>
      <c r="D751" s="23"/>
      <c r="E751" s="23"/>
      <c r="F751" s="24"/>
      <c r="G751" s="24"/>
    </row>
    <row r="752" spans="2:7" ht="15.75" customHeight="1" x14ac:dyDescent="0.25">
      <c r="B752" s="23"/>
      <c r="C752" s="23"/>
      <c r="D752" s="23"/>
      <c r="E752" s="23"/>
      <c r="F752" s="24"/>
      <c r="G752" s="24"/>
    </row>
    <row r="753" spans="2:7" ht="15.75" customHeight="1" x14ac:dyDescent="0.25">
      <c r="B753" s="23"/>
      <c r="C753" s="23"/>
      <c r="D753" s="23"/>
      <c r="E753" s="23"/>
      <c r="F753" s="24"/>
      <c r="G753" s="24"/>
    </row>
    <row r="754" spans="2:7" ht="15.75" customHeight="1" x14ac:dyDescent="0.25">
      <c r="B754" s="23"/>
      <c r="C754" s="23"/>
      <c r="D754" s="23"/>
      <c r="E754" s="23"/>
      <c r="F754" s="24"/>
      <c r="G754" s="24"/>
    </row>
    <row r="755" spans="2:7" ht="15.75" customHeight="1" x14ac:dyDescent="0.25">
      <c r="B755" s="23"/>
      <c r="C755" s="23"/>
      <c r="D755" s="23"/>
      <c r="E755" s="23"/>
      <c r="F755" s="24"/>
      <c r="G755" s="24"/>
    </row>
    <row r="756" spans="2:7" ht="15.75" customHeight="1" x14ac:dyDescent="0.25">
      <c r="B756" s="23"/>
      <c r="C756" s="23"/>
      <c r="D756" s="23"/>
      <c r="E756" s="23"/>
      <c r="F756" s="24"/>
      <c r="G756" s="24"/>
    </row>
    <row r="757" spans="2:7" ht="15.75" customHeight="1" x14ac:dyDescent="0.25">
      <c r="B757" s="23"/>
      <c r="C757" s="23"/>
      <c r="D757" s="23"/>
      <c r="E757" s="23"/>
      <c r="F757" s="24"/>
      <c r="G757" s="24"/>
    </row>
    <row r="758" spans="2:7" ht="15.75" customHeight="1" x14ac:dyDescent="0.25">
      <c r="B758" s="23"/>
      <c r="C758" s="23"/>
      <c r="D758" s="23"/>
      <c r="E758" s="23"/>
      <c r="F758" s="24"/>
      <c r="G758" s="24"/>
    </row>
    <row r="759" spans="2:7" ht="15.75" customHeight="1" x14ac:dyDescent="0.25">
      <c r="B759" s="23"/>
      <c r="C759" s="23"/>
      <c r="D759" s="23"/>
      <c r="E759" s="23"/>
      <c r="F759" s="24"/>
      <c r="G759" s="24"/>
    </row>
    <row r="760" spans="2:7" ht="15.75" customHeight="1" x14ac:dyDescent="0.25">
      <c r="B760" s="23"/>
      <c r="C760" s="23"/>
      <c r="D760" s="23"/>
      <c r="E760" s="23"/>
      <c r="F760" s="24"/>
      <c r="G760" s="24"/>
    </row>
    <row r="761" spans="2:7" ht="15.75" customHeight="1" x14ac:dyDescent="0.25">
      <c r="B761" s="23"/>
      <c r="C761" s="23"/>
      <c r="D761" s="23"/>
      <c r="E761" s="23"/>
      <c r="F761" s="24"/>
      <c r="G761" s="24"/>
    </row>
    <row r="762" spans="2:7" ht="15.75" customHeight="1" x14ac:dyDescent="0.25">
      <c r="B762" s="23"/>
      <c r="C762" s="23"/>
      <c r="D762" s="23"/>
      <c r="E762" s="23"/>
      <c r="F762" s="24"/>
      <c r="G762" s="24"/>
    </row>
    <row r="763" spans="2:7" ht="15.75" customHeight="1" x14ac:dyDescent="0.25">
      <c r="B763" s="23"/>
      <c r="C763" s="23"/>
      <c r="D763" s="23"/>
      <c r="E763" s="23"/>
      <c r="F763" s="24"/>
      <c r="G763" s="24"/>
    </row>
    <row r="764" spans="2:7" ht="15.75" customHeight="1" x14ac:dyDescent="0.25">
      <c r="B764" s="23"/>
      <c r="C764" s="23"/>
      <c r="D764" s="23"/>
      <c r="E764" s="23"/>
      <c r="F764" s="24"/>
      <c r="G764" s="24"/>
    </row>
    <row r="765" spans="2:7" ht="15.75" customHeight="1" x14ac:dyDescent="0.25">
      <c r="B765" s="23"/>
      <c r="C765" s="23"/>
      <c r="D765" s="23"/>
      <c r="E765" s="23"/>
      <c r="F765" s="24"/>
      <c r="G765" s="24"/>
    </row>
    <row r="766" spans="2:7" ht="15.75" customHeight="1" x14ac:dyDescent="0.25">
      <c r="B766" s="23"/>
      <c r="C766" s="23"/>
      <c r="D766" s="23"/>
      <c r="E766" s="23"/>
      <c r="F766" s="24"/>
      <c r="G766" s="24"/>
    </row>
    <row r="767" spans="2:7" ht="15.75" customHeight="1" x14ac:dyDescent="0.25">
      <c r="B767" s="23"/>
      <c r="C767" s="23"/>
      <c r="D767" s="23"/>
      <c r="E767" s="23"/>
      <c r="F767" s="24"/>
      <c r="G767" s="24"/>
    </row>
    <row r="768" spans="2:7" ht="15.75" customHeight="1" x14ac:dyDescent="0.25">
      <c r="B768" s="23"/>
      <c r="C768" s="23"/>
      <c r="D768" s="23"/>
      <c r="E768" s="23"/>
      <c r="F768" s="24"/>
      <c r="G768" s="24"/>
    </row>
    <row r="769" spans="2:7" ht="15.75" customHeight="1" x14ac:dyDescent="0.25">
      <c r="B769" s="23"/>
      <c r="C769" s="23"/>
      <c r="D769" s="23"/>
      <c r="E769" s="23"/>
      <c r="F769" s="24"/>
      <c r="G769" s="24"/>
    </row>
    <row r="770" spans="2:7" ht="15.75" customHeight="1" x14ac:dyDescent="0.25">
      <c r="B770" s="23"/>
      <c r="C770" s="23"/>
      <c r="D770" s="23"/>
      <c r="E770" s="23"/>
      <c r="F770" s="24"/>
      <c r="G770" s="24"/>
    </row>
    <row r="771" spans="2:7" ht="15.75" customHeight="1" x14ac:dyDescent="0.25">
      <c r="B771" s="23"/>
      <c r="C771" s="23"/>
      <c r="D771" s="23"/>
      <c r="E771" s="23"/>
      <c r="F771" s="24"/>
      <c r="G771" s="24"/>
    </row>
    <row r="772" spans="2:7" ht="15.75" customHeight="1" x14ac:dyDescent="0.25">
      <c r="B772" s="23"/>
      <c r="C772" s="23"/>
      <c r="D772" s="23"/>
      <c r="E772" s="23"/>
      <c r="F772" s="24"/>
      <c r="G772" s="24"/>
    </row>
    <row r="773" spans="2:7" ht="15.75" customHeight="1" x14ac:dyDescent="0.25">
      <c r="B773" s="23"/>
      <c r="C773" s="23"/>
      <c r="D773" s="23"/>
      <c r="E773" s="23"/>
      <c r="F773" s="24"/>
      <c r="G773" s="24"/>
    </row>
    <row r="774" spans="2:7" ht="15.75" customHeight="1" x14ac:dyDescent="0.25">
      <c r="B774" s="23"/>
      <c r="C774" s="23"/>
      <c r="D774" s="23"/>
      <c r="E774" s="23"/>
      <c r="F774" s="24"/>
      <c r="G774" s="24"/>
    </row>
    <row r="775" spans="2:7" ht="15.75" customHeight="1" x14ac:dyDescent="0.25">
      <c r="B775" s="23"/>
      <c r="C775" s="23"/>
      <c r="D775" s="23"/>
      <c r="E775" s="23"/>
      <c r="F775" s="24"/>
      <c r="G775" s="24"/>
    </row>
    <row r="776" spans="2:7" ht="15.75" customHeight="1" x14ac:dyDescent="0.25">
      <c r="B776" s="23"/>
      <c r="C776" s="23"/>
      <c r="D776" s="23"/>
      <c r="E776" s="23"/>
      <c r="F776" s="24"/>
      <c r="G776" s="24"/>
    </row>
    <row r="777" spans="2:7" ht="15.75" customHeight="1" x14ac:dyDescent="0.25">
      <c r="B777" s="23"/>
      <c r="C777" s="23"/>
      <c r="D777" s="23"/>
      <c r="E777" s="23"/>
      <c r="F777" s="24"/>
      <c r="G777" s="24"/>
    </row>
    <row r="778" spans="2:7" ht="15.75" customHeight="1" x14ac:dyDescent="0.25">
      <c r="B778" s="23"/>
      <c r="C778" s="23"/>
      <c r="D778" s="23"/>
      <c r="E778" s="23"/>
      <c r="F778" s="24"/>
      <c r="G778" s="24"/>
    </row>
    <row r="779" spans="2:7" ht="15.75" customHeight="1" x14ac:dyDescent="0.25">
      <c r="B779" s="23"/>
      <c r="C779" s="23"/>
      <c r="D779" s="23"/>
      <c r="E779" s="23"/>
      <c r="F779" s="24"/>
      <c r="G779" s="24"/>
    </row>
    <row r="780" spans="2:7" ht="15.75" customHeight="1" x14ac:dyDescent="0.25">
      <c r="B780" s="23"/>
      <c r="C780" s="23"/>
      <c r="D780" s="23"/>
      <c r="E780" s="23"/>
      <c r="F780" s="24"/>
      <c r="G780" s="24"/>
    </row>
    <row r="781" spans="2:7" ht="15.75" customHeight="1" x14ac:dyDescent="0.25">
      <c r="B781" s="23"/>
      <c r="C781" s="23"/>
      <c r="D781" s="23"/>
      <c r="E781" s="23"/>
      <c r="F781" s="24"/>
      <c r="G781" s="24"/>
    </row>
    <row r="782" spans="2:7" ht="15.75" customHeight="1" x14ac:dyDescent="0.25">
      <c r="B782" s="23"/>
      <c r="C782" s="23"/>
      <c r="D782" s="23"/>
      <c r="E782" s="23"/>
      <c r="F782" s="24"/>
      <c r="G782" s="24"/>
    </row>
    <row r="783" spans="2:7" ht="15.75" customHeight="1" x14ac:dyDescent="0.25">
      <c r="B783" s="23"/>
      <c r="C783" s="23"/>
      <c r="D783" s="23"/>
      <c r="E783" s="23"/>
      <c r="F783" s="24"/>
      <c r="G783" s="24"/>
    </row>
    <row r="784" spans="2:7" ht="15.75" customHeight="1" x14ac:dyDescent="0.25">
      <c r="B784" s="23"/>
      <c r="C784" s="23"/>
      <c r="D784" s="23"/>
      <c r="E784" s="23"/>
      <c r="F784" s="24"/>
      <c r="G784" s="24"/>
    </row>
    <row r="785" spans="2:7" ht="15.75" customHeight="1" x14ac:dyDescent="0.25">
      <c r="B785" s="23"/>
      <c r="C785" s="23"/>
      <c r="D785" s="23"/>
      <c r="E785" s="23"/>
      <c r="F785" s="24"/>
      <c r="G785" s="24"/>
    </row>
    <row r="786" spans="2:7" ht="15.75" customHeight="1" x14ac:dyDescent="0.25">
      <c r="B786" s="23"/>
      <c r="C786" s="23"/>
      <c r="D786" s="23"/>
      <c r="E786" s="23"/>
      <c r="F786" s="24"/>
      <c r="G786" s="24"/>
    </row>
    <row r="787" spans="2:7" ht="15.75" customHeight="1" x14ac:dyDescent="0.25">
      <c r="B787" s="23"/>
      <c r="C787" s="23"/>
      <c r="D787" s="23"/>
      <c r="E787" s="23"/>
      <c r="F787" s="24"/>
      <c r="G787" s="24"/>
    </row>
    <row r="788" spans="2:7" ht="15.75" customHeight="1" x14ac:dyDescent="0.25">
      <c r="B788" s="23"/>
      <c r="C788" s="23"/>
      <c r="D788" s="23"/>
      <c r="E788" s="23"/>
      <c r="F788" s="24"/>
      <c r="G788" s="24"/>
    </row>
    <row r="789" spans="2:7" ht="15.75" customHeight="1" x14ac:dyDescent="0.25">
      <c r="B789" s="23"/>
      <c r="C789" s="23"/>
      <c r="D789" s="23"/>
      <c r="E789" s="23"/>
      <c r="F789" s="24"/>
      <c r="G789" s="24"/>
    </row>
    <row r="790" spans="2:7" ht="15.75" customHeight="1" x14ac:dyDescent="0.25">
      <c r="B790" s="23"/>
      <c r="C790" s="23"/>
      <c r="D790" s="23"/>
      <c r="E790" s="23"/>
      <c r="F790" s="24"/>
      <c r="G790" s="24"/>
    </row>
    <row r="791" spans="2:7" ht="15.75" customHeight="1" x14ac:dyDescent="0.25">
      <c r="B791" s="23"/>
      <c r="C791" s="23"/>
      <c r="D791" s="23"/>
      <c r="E791" s="23"/>
      <c r="F791" s="24"/>
      <c r="G791" s="24"/>
    </row>
    <row r="792" spans="2:7" ht="15.75" customHeight="1" x14ac:dyDescent="0.25">
      <c r="B792" s="23"/>
      <c r="C792" s="23"/>
      <c r="D792" s="23"/>
      <c r="E792" s="23"/>
      <c r="F792" s="24"/>
      <c r="G792" s="24"/>
    </row>
    <row r="793" spans="2:7" ht="15.75" customHeight="1" x14ac:dyDescent="0.25">
      <c r="B793" s="23"/>
      <c r="C793" s="23"/>
      <c r="D793" s="23"/>
      <c r="E793" s="23"/>
      <c r="F793" s="24"/>
      <c r="G793" s="24"/>
    </row>
    <row r="794" spans="2:7" ht="15.75" customHeight="1" x14ac:dyDescent="0.25">
      <c r="B794" s="23"/>
      <c r="C794" s="23"/>
      <c r="D794" s="23"/>
      <c r="E794" s="23"/>
      <c r="F794" s="24"/>
      <c r="G794" s="24"/>
    </row>
    <row r="795" spans="2:7" ht="15.75" customHeight="1" x14ac:dyDescent="0.25">
      <c r="B795" s="23"/>
      <c r="C795" s="23"/>
      <c r="D795" s="23"/>
      <c r="E795" s="23"/>
      <c r="F795" s="24"/>
      <c r="G795" s="24"/>
    </row>
    <row r="796" spans="2:7" ht="15.75" customHeight="1" x14ac:dyDescent="0.25">
      <c r="B796" s="23"/>
      <c r="C796" s="23"/>
      <c r="D796" s="23"/>
      <c r="E796" s="23"/>
      <c r="F796" s="24"/>
      <c r="G796" s="24"/>
    </row>
    <row r="797" spans="2:7" ht="15.75" customHeight="1" x14ac:dyDescent="0.25">
      <c r="B797" s="23"/>
      <c r="C797" s="23"/>
      <c r="D797" s="23"/>
      <c r="E797" s="23"/>
      <c r="F797" s="24"/>
      <c r="G797" s="24"/>
    </row>
    <row r="798" spans="2:7" ht="15.75" customHeight="1" x14ac:dyDescent="0.25">
      <c r="B798" s="23"/>
      <c r="C798" s="23"/>
      <c r="D798" s="23"/>
      <c r="E798" s="23"/>
      <c r="F798" s="24"/>
      <c r="G798" s="24"/>
    </row>
    <row r="799" spans="2:7" ht="15.75" customHeight="1" x14ac:dyDescent="0.25">
      <c r="B799" s="23"/>
      <c r="C799" s="23"/>
      <c r="D799" s="23"/>
      <c r="E799" s="23"/>
      <c r="F799" s="24"/>
      <c r="G799" s="24"/>
    </row>
    <row r="800" spans="2:7" ht="15.75" customHeight="1" x14ac:dyDescent="0.25">
      <c r="B800" s="23"/>
      <c r="C800" s="23"/>
      <c r="D800" s="23"/>
      <c r="E800" s="23"/>
      <c r="F800" s="24"/>
      <c r="G800" s="24"/>
    </row>
    <row r="801" spans="2:7" ht="15.75" customHeight="1" x14ac:dyDescent="0.25">
      <c r="B801" s="23"/>
      <c r="C801" s="23"/>
      <c r="D801" s="23"/>
      <c r="E801" s="23"/>
      <c r="F801" s="24"/>
      <c r="G801" s="24"/>
    </row>
    <row r="802" spans="2:7" ht="15.75" customHeight="1" x14ac:dyDescent="0.25">
      <c r="B802" s="23"/>
      <c r="C802" s="23"/>
      <c r="D802" s="23"/>
      <c r="E802" s="23"/>
      <c r="F802" s="24"/>
      <c r="G802" s="24"/>
    </row>
    <row r="803" spans="2:7" ht="15.75" customHeight="1" x14ac:dyDescent="0.25">
      <c r="B803" s="23"/>
      <c r="C803" s="23"/>
      <c r="D803" s="23"/>
      <c r="E803" s="23"/>
      <c r="F803" s="24"/>
      <c r="G803" s="24"/>
    </row>
    <row r="804" spans="2:7" ht="15.75" customHeight="1" x14ac:dyDescent="0.25">
      <c r="B804" s="23"/>
      <c r="C804" s="23"/>
      <c r="D804" s="23"/>
      <c r="E804" s="23"/>
      <c r="F804" s="24"/>
      <c r="G804" s="24"/>
    </row>
    <row r="805" spans="2:7" ht="15.75" customHeight="1" x14ac:dyDescent="0.25">
      <c r="B805" s="23"/>
      <c r="C805" s="23"/>
      <c r="D805" s="23"/>
      <c r="E805" s="23"/>
      <c r="F805" s="24"/>
      <c r="G805" s="24"/>
    </row>
    <row r="806" spans="2:7" ht="15.75" customHeight="1" x14ac:dyDescent="0.25">
      <c r="B806" s="23"/>
      <c r="C806" s="23"/>
      <c r="D806" s="23"/>
      <c r="E806" s="23"/>
      <c r="F806" s="24"/>
      <c r="G806" s="24"/>
    </row>
    <row r="807" spans="2:7" ht="15.75" customHeight="1" x14ac:dyDescent="0.25">
      <c r="B807" s="23"/>
      <c r="C807" s="23"/>
      <c r="D807" s="23"/>
      <c r="E807" s="23"/>
      <c r="F807" s="24"/>
      <c r="G807" s="24"/>
    </row>
    <row r="808" spans="2:7" ht="15.75" customHeight="1" x14ac:dyDescent="0.25">
      <c r="B808" s="23"/>
      <c r="C808" s="23"/>
      <c r="D808" s="23"/>
      <c r="E808" s="23"/>
      <c r="F808" s="24"/>
      <c r="G808" s="24"/>
    </row>
    <row r="809" spans="2:7" ht="15.75" customHeight="1" x14ac:dyDescent="0.25">
      <c r="B809" s="23"/>
      <c r="C809" s="23"/>
      <c r="D809" s="23"/>
      <c r="E809" s="23"/>
      <c r="F809" s="24"/>
      <c r="G809" s="24"/>
    </row>
    <row r="810" spans="2:7" ht="15.75" customHeight="1" x14ac:dyDescent="0.25">
      <c r="B810" s="23"/>
      <c r="C810" s="23"/>
      <c r="D810" s="23"/>
      <c r="E810" s="23"/>
      <c r="F810" s="24"/>
      <c r="G810" s="24"/>
    </row>
    <row r="811" spans="2:7" ht="15.75" customHeight="1" x14ac:dyDescent="0.25">
      <c r="B811" s="23"/>
      <c r="C811" s="23"/>
      <c r="D811" s="23"/>
      <c r="E811" s="23"/>
      <c r="F811" s="24"/>
      <c r="G811" s="24"/>
    </row>
    <row r="812" spans="2:7" ht="15.75" customHeight="1" x14ac:dyDescent="0.25">
      <c r="B812" s="23"/>
      <c r="C812" s="23"/>
      <c r="D812" s="23"/>
      <c r="E812" s="23"/>
      <c r="F812" s="24"/>
      <c r="G812" s="24"/>
    </row>
    <row r="813" spans="2:7" ht="15.75" customHeight="1" x14ac:dyDescent="0.25">
      <c r="B813" s="23"/>
      <c r="C813" s="23"/>
      <c r="D813" s="23"/>
      <c r="E813" s="23"/>
      <c r="F813" s="24"/>
      <c r="G813" s="24"/>
    </row>
    <row r="814" spans="2:7" ht="15.75" customHeight="1" x14ac:dyDescent="0.25">
      <c r="B814" s="23"/>
      <c r="C814" s="23"/>
      <c r="D814" s="23"/>
      <c r="E814" s="23"/>
      <c r="F814" s="24"/>
      <c r="G814" s="24"/>
    </row>
    <row r="815" spans="2:7" ht="15.75" customHeight="1" x14ac:dyDescent="0.25">
      <c r="B815" s="23"/>
      <c r="C815" s="23"/>
      <c r="D815" s="23"/>
      <c r="E815" s="23"/>
      <c r="F815" s="24"/>
      <c r="G815" s="24"/>
    </row>
    <row r="816" spans="2:7" ht="15.75" customHeight="1" x14ac:dyDescent="0.25">
      <c r="B816" s="23"/>
      <c r="C816" s="23"/>
      <c r="D816" s="23"/>
      <c r="E816" s="23"/>
      <c r="F816" s="24"/>
      <c r="G816" s="24"/>
    </row>
    <row r="817" spans="2:7" ht="15.75" customHeight="1" x14ac:dyDescent="0.25">
      <c r="B817" s="23"/>
      <c r="C817" s="23"/>
      <c r="D817" s="23"/>
      <c r="E817" s="23"/>
      <c r="F817" s="24"/>
      <c r="G817" s="24"/>
    </row>
    <row r="818" spans="2:7" ht="15.75" customHeight="1" x14ac:dyDescent="0.25">
      <c r="B818" s="23"/>
      <c r="C818" s="23"/>
      <c r="D818" s="23"/>
      <c r="E818" s="23"/>
      <c r="F818" s="24"/>
      <c r="G818" s="24"/>
    </row>
    <row r="819" spans="2:7" ht="15.75" customHeight="1" x14ac:dyDescent="0.25">
      <c r="B819" s="23"/>
      <c r="C819" s="23"/>
      <c r="D819" s="23"/>
      <c r="E819" s="23"/>
      <c r="F819" s="24"/>
      <c r="G819" s="24"/>
    </row>
    <row r="820" spans="2:7" ht="15.75" customHeight="1" x14ac:dyDescent="0.25">
      <c r="B820" s="23"/>
      <c r="C820" s="23"/>
      <c r="D820" s="23"/>
      <c r="E820" s="23"/>
      <c r="F820" s="24"/>
      <c r="G820" s="24"/>
    </row>
    <row r="821" spans="2:7" ht="15.75" customHeight="1" x14ac:dyDescent="0.25">
      <c r="B821" s="23"/>
      <c r="C821" s="23"/>
      <c r="D821" s="23"/>
      <c r="E821" s="23"/>
      <c r="F821" s="24"/>
      <c r="G821" s="24"/>
    </row>
    <row r="822" spans="2:7" ht="15.75" customHeight="1" x14ac:dyDescent="0.25">
      <c r="B822" s="23"/>
      <c r="C822" s="23"/>
      <c r="D822" s="23"/>
      <c r="E822" s="23"/>
      <c r="F822" s="24"/>
      <c r="G822" s="24"/>
    </row>
    <row r="823" spans="2:7" ht="15.75" customHeight="1" x14ac:dyDescent="0.25">
      <c r="B823" s="23"/>
      <c r="C823" s="23"/>
      <c r="D823" s="23"/>
      <c r="E823" s="23"/>
      <c r="F823" s="24"/>
      <c r="G823" s="24"/>
    </row>
    <row r="824" spans="2:7" ht="15.75" customHeight="1" x14ac:dyDescent="0.25">
      <c r="B824" s="23"/>
      <c r="C824" s="23"/>
      <c r="D824" s="23"/>
      <c r="E824" s="23"/>
      <c r="F824" s="24"/>
      <c r="G824" s="24"/>
    </row>
    <row r="825" spans="2:7" ht="15.75" customHeight="1" x14ac:dyDescent="0.25">
      <c r="B825" s="23"/>
      <c r="C825" s="23"/>
      <c r="D825" s="23"/>
      <c r="E825" s="23"/>
      <c r="F825" s="24"/>
      <c r="G825" s="24"/>
    </row>
    <row r="826" spans="2:7" ht="15.75" customHeight="1" x14ac:dyDescent="0.25">
      <c r="B826" s="23"/>
      <c r="C826" s="23"/>
      <c r="D826" s="23"/>
      <c r="E826" s="23"/>
      <c r="F826" s="24"/>
      <c r="G826" s="24"/>
    </row>
    <row r="827" spans="2:7" ht="15.75" customHeight="1" x14ac:dyDescent="0.25">
      <c r="B827" s="23"/>
      <c r="C827" s="23"/>
      <c r="D827" s="23"/>
      <c r="E827" s="23"/>
      <c r="F827" s="24"/>
      <c r="G827" s="24"/>
    </row>
    <row r="828" spans="2:7" ht="15.75" customHeight="1" x14ac:dyDescent="0.25">
      <c r="B828" s="23"/>
      <c r="C828" s="23"/>
      <c r="D828" s="23"/>
      <c r="E828" s="23"/>
      <c r="F828" s="24"/>
      <c r="G828" s="24"/>
    </row>
    <row r="829" spans="2:7" ht="15.75" customHeight="1" x14ac:dyDescent="0.25">
      <c r="B829" s="23"/>
      <c r="C829" s="23"/>
      <c r="D829" s="23"/>
      <c r="E829" s="23"/>
      <c r="F829" s="24"/>
      <c r="G829" s="24"/>
    </row>
    <row r="830" spans="2:7" ht="15.75" customHeight="1" x14ac:dyDescent="0.25">
      <c r="B830" s="23"/>
      <c r="C830" s="23"/>
      <c r="D830" s="23"/>
      <c r="E830" s="23"/>
      <c r="F830" s="24"/>
      <c r="G830" s="24"/>
    </row>
    <row r="831" spans="2:7" ht="15.75" customHeight="1" x14ac:dyDescent="0.25">
      <c r="B831" s="23"/>
      <c r="C831" s="23"/>
      <c r="D831" s="23"/>
      <c r="E831" s="23"/>
      <c r="F831" s="24"/>
      <c r="G831" s="24"/>
    </row>
    <row r="832" spans="2:7" ht="15.75" customHeight="1" x14ac:dyDescent="0.25">
      <c r="B832" s="23"/>
      <c r="C832" s="23"/>
      <c r="D832" s="23"/>
      <c r="E832" s="23"/>
      <c r="F832" s="24"/>
      <c r="G832" s="24"/>
    </row>
    <row r="833" spans="2:7" ht="15.75" customHeight="1" x14ac:dyDescent="0.25">
      <c r="B833" s="23"/>
      <c r="C833" s="23"/>
      <c r="D833" s="23"/>
      <c r="E833" s="23"/>
      <c r="F833" s="24"/>
      <c r="G833" s="24"/>
    </row>
    <row r="834" spans="2:7" ht="15.75" customHeight="1" x14ac:dyDescent="0.25">
      <c r="B834" s="23"/>
      <c r="C834" s="23"/>
      <c r="D834" s="23"/>
      <c r="E834" s="23"/>
      <c r="F834" s="24"/>
      <c r="G834" s="24"/>
    </row>
    <row r="835" spans="2:7" ht="15.75" customHeight="1" x14ac:dyDescent="0.25">
      <c r="B835" s="23"/>
      <c r="C835" s="23"/>
      <c r="D835" s="23"/>
      <c r="E835" s="23"/>
      <c r="F835" s="24"/>
      <c r="G835" s="24"/>
    </row>
    <row r="836" spans="2:7" ht="15.75" customHeight="1" x14ac:dyDescent="0.25">
      <c r="B836" s="23"/>
      <c r="C836" s="23"/>
      <c r="D836" s="23"/>
      <c r="E836" s="23"/>
      <c r="F836" s="24"/>
      <c r="G836" s="24"/>
    </row>
    <row r="837" spans="2:7" ht="15.75" customHeight="1" x14ac:dyDescent="0.25">
      <c r="B837" s="23"/>
      <c r="C837" s="23"/>
      <c r="D837" s="23"/>
      <c r="E837" s="23"/>
      <c r="F837" s="24"/>
      <c r="G837" s="24"/>
    </row>
    <row r="838" spans="2:7" ht="15.75" customHeight="1" x14ac:dyDescent="0.25">
      <c r="B838" s="23"/>
      <c r="C838" s="23"/>
      <c r="D838" s="23"/>
      <c r="E838" s="23"/>
      <c r="F838" s="24"/>
      <c r="G838" s="24"/>
    </row>
    <row r="839" spans="2:7" ht="15.75" customHeight="1" x14ac:dyDescent="0.25">
      <c r="B839" s="23"/>
      <c r="C839" s="23"/>
      <c r="D839" s="23"/>
      <c r="E839" s="23"/>
      <c r="F839" s="24"/>
      <c r="G839" s="24"/>
    </row>
    <row r="840" spans="2:7" ht="15.75" customHeight="1" x14ac:dyDescent="0.25">
      <c r="B840" s="23"/>
      <c r="C840" s="23"/>
      <c r="D840" s="23"/>
      <c r="E840" s="23"/>
      <c r="F840" s="24"/>
      <c r="G840" s="24"/>
    </row>
    <row r="841" spans="2:7" ht="15.75" customHeight="1" x14ac:dyDescent="0.25">
      <c r="B841" s="23"/>
      <c r="C841" s="23"/>
      <c r="D841" s="23"/>
      <c r="E841" s="23"/>
      <c r="F841" s="24"/>
      <c r="G841" s="24"/>
    </row>
    <row r="842" spans="2:7" ht="15.75" customHeight="1" x14ac:dyDescent="0.25">
      <c r="B842" s="23"/>
      <c r="C842" s="23"/>
      <c r="D842" s="23"/>
      <c r="E842" s="23"/>
      <c r="F842" s="24"/>
      <c r="G842" s="24"/>
    </row>
    <row r="843" spans="2:7" ht="15.75" customHeight="1" x14ac:dyDescent="0.25">
      <c r="B843" s="23"/>
      <c r="C843" s="23"/>
      <c r="D843" s="23"/>
      <c r="E843" s="23"/>
      <c r="F843" s="24"/>
      <c r="G843" s="24"/>
    </row>
    <row r="844" spans="2:7" ht="15.75" customHeight="1" x14ac:dyDescent="0.25">
      <c r="B844" s="23"/>
      <c r="C844" s="23"/>
      <c r="D844" s="23"/>
      <c r="E844" s="23"/>
      <c r="F844" s="24"/>
      <c r="G844" s="24"/>
    </row>
    <row r="845" spans="2:7" ht="15.75" customHeight="1" x14ac:dyDescent="0.25">
      <c r="B845" s="23"/>
      <c r="C845" s="23"/>
      <c r="D845" s="23"/>
      <c r="E845" s="23"/>
      <c r="F845" s="24"/>
      <c r="G845" s="24"/>
    </row>
    <row r="846" spans="2:7" ht="15.75" customHeight="1" x14ac:dyDescent="0.25">
      <c r="B846" s="23"/>
      <c r="C846" s="23"/>
      <c r="D846" s="23"/>
      <c r="E846" s="23"/>
      <c r="F846" s="24"/>
      <c r="G846" s="24"/>
    </row>
    <row r="847" spans="2:7" ht="15.75" customHeight="1" x14ac:dyDescent="0.25">
      <c r="B847" s="23"/>
      <c r="C847" s="23"/>
      <c r="D847" s="23"/>
      <c r="E847" s="23"/>
      <c r="F847" s="24"/>
      <c r="G847" s="24"/>
    </row>
    <row r="848" spans="2:7" ht="15.75" customHeight="1" x14ac:dyDescent="0.25">
      <c r="B848" s="23"/>
      <c r="C848" s="23"/>
      <c r="D848" s="23"/>
      <c r="E848" s="23"/>
      <c r="F848" s="24"/>
      <c r="G848" s="24"/>
    </row>
    <row r="849" spans="2:7" ht="15.75" customHeight="1" x14ac:dyDescent="0.25">
      <c r="B849" s="23"/>
      <c r="C849" s="23"/>
      <c r="D849" s="23"/>
      <c r="E849" s="23"/>
      <c r="F849" s="24"/>
      <c r="G849" s="24"/>
    </row>
    <row r="850" spans="2:7" ht="15.75" customHeight="1" x14ac:dyDescent="0.25">
      <c r="B850" s="23"/>
      <c r="C850" s="23"/>
      <c r="D850" s="23"/>
      <c r="E850" s="23"/>
      <c r="F850" s="24"/>
      <c r="G850" s="24"/>
    </row>
    <row r="851" spans="2:7" ht="15.75" customHeight="1" x14ac:dyDescent="0.25">
      <c r="B851" s="23"/>
      <c r="C851" s="23"/>
      <c r="D851" s="23"/>
      <c r="E851" s="23"/>
      <c r="F851" s="24"/>
      <c r="G851" s="24"/>
    </row>
    <row r="852" spans="2:7" ht="15.75" customHeight="1" x14ac:dyDescent="0.25">
      <c r="B852" s="23"/>
      <c r="C852" s="23"/>
      <c r="D852" s="23"/>
      <c r="E852" s="23"/>
      <c r="F852" s="24"/>
      <c r="G852" s="24"/>
    </row>
    <row r="853" spans="2:7" ht="15.75" customHeight="1" x14ac:dyDescent="0.25">
      <c r="B853" s="23"/>
      <c r="C853" s="23"/>
      <c r="D853" s="23"/>
      <c r="E853" s="23"/>
      <c r="F853" s="24"/>
      <c r="G853" s="24"/>
    </row>
    <row r="854" spans="2:7" ht="15.75" customHeight="1" x14ac:dyDescent="0.25">
      <c r="B854" s="23"/>
      <c r="C854" s="23"/>
      <c r="D854" s="23"/>
      <c r="E854" s="23"/>
      <c r="F854" s="24"/>
      <c r="G854" s="24"/>
    </row>
    <row r="855" spans="2:7" ht="15.75" customHeight="1" x14ac:dyDescent="0.25">
      <c r="B855" s="23"/>
      <c r="C855" s="23"/>
      <c r="D855" s="23"/>
      <c r="E855" s="23"/>
      <c r="F855" s="24"/>
      <c r="G855" s="24"/>
    </row>
    <row r="856" spans="2:7" ht="15.75" customHeight="1" x14ac:dyDescent="0.25">
      <c r="B856" s="23"/>
      <c r="C856" s="23"/>
      <c r="D856" s="23"/>
      <c r="E856" s="23"/>
      <c r="F856" s="24"/>
      <c r="G856" s="24"/>
    </row>
    <row r="857" spans="2:7" ht="15.75" customHeight="1" x14ac:dyDescent="0.25">
      <c r="B857" s="23"/>
      <c r="C857" s="23"/>
      <c r="D857" s="23"/>
      <c r="E857" s="23"/>
      <c r="F857" s="24"/>
      <c r="G857" s="24"/>
    </row>
    <row r="858" spans="2:7" ht="15.75" customHeight="1" x14ac:dyDescent="0.25">
      <c r="B858" s="23"/>
      <c r="C858" s="23"/>
      <c r="D858" s="23"/>
      <c r="E858" s="23"/>
      <c r="F858" s="24"/>
      <c r="G858" s="24"/>
    </row>
    <row r="859" spans="2:7" ht="15.75" customHeight="1" x14ac:dyDescent="0.25">
      <c r="B859" s="23"/>
      <c r="C859" s="23"/>
      <c r="D859" s="23"/>
      <c r="E859" s="23"/>
      <c r="F859" s="24"/>
      <c r="G859" s="24"/>
    </row>
    <row r="860" spans="2:7" ht="15.75" customHeight="1" x14ac:dyDescent="0.25">
      <c r="B860" s="23"/>
      <c r="C860" s="23"/>
      <c r="D860" s="23"/>
      <c r="E860" s="23"/>
      <c r="F860" s="24"/>
      <c r="G860" s="24"/>
    </row>
    <row r="861" spans="2:7" ht="15.75" customHeight="1" x14ac:dyDescent="0.25">
      <c r="B861" s="23"/>
      <c r="C861" s="23"/>
      <c r="D861" s="23"/>
      <c r="E861" s="23"/>
      <c r="F861" s="24"/>
      <c r="G861" s="24"/>
    </row>
    <row r="862" spans="2:7" ht="15.75" customHeight="1" x14ac:dyDescent="0.25">
      <c r="B862" s="23"/>
      <c r="C862" s="23"/>
      <c r="D862" s="23"/>
      <c r="E862" s="23"/>
      <c r="F862" s="24"/>
      <c r="G862" s="24"/>
    </row>
    <row r="863" spans="2:7" ht="15.75" customHeight="1" x14ac:dyDescent="0.25">
      <c r="B863" s="23"/>
      <c r="C863" s="23"/>
      <c r="D863" s="23"/>
      <c r="E863" s="23"/>
      <c r="F863" s="24"/>
      <c r="G863" s="24"/>
    </row>
    <row r="864" spans="2:7" ht="15.75" customHeight="1" x14ac:dyDescent="0.25">
      <c r="B864" s="23"/>
      <c r="C864" s="23"/>
      <c r="D864" s="23"/>
      <c r="E864" s="23"/>
      <c r="F864" s="24"/>
      <c r="G864" s="24"/>
    </row>
    <row r="865" spans="2:7" ht="15.75" customHeight="1" x14ac:dyDescent="0.25">
      <c r="B865" s="23"/>
      <c r="C865" s="23"/>
      <c r="D865" s="23"/>
      <c r="E865" s="23"/>
      <c r="F865" s="24"/>
      <c r="G865" s="24"/>
    </row>
    <row r="866" spans="2:7" ht="15.75" customHeight="1" x14ac:dyDescent="0.25">
      <c r="B866" s="23"/>
      <c r="C866" s="23"/>
      <c r="D866" s="23"/>
      <c r="E866" s="23"/>
      <c r="F866" s="24"/>
      <c r="G866" s="24"/>
    </row>
    <row r="867" spans="2:7" ht="15.75" customHeight="1" x14ac:dyDescent="0.25">
      <c r="B867" s="23"/>
      <c r="C867" s="23"/>
      <c r="D867" s="23"/>
      <c r="E867" s="23"/>
      <c r="F867" s="24"/>
      <c r="G867" s="24"/>
    </row>
    <row r="868" spans="2:7" ht="15.75" customHeight="1" x14ac:dyDescent="0.25">
      <c r="B868" s="23"/>
      <c r="C868" s="23"/>
      <c r="D868" s="23"/>
      <c r="E868" s="23"/>
      <c r="F868" s="24"/>
      <c r="G868" s="24"/>
    </row>
    <row r="869" spans="2:7" ht="15.75" customHeight="1" x14ac:dyDescent="0.25">
      <c r="B869" s="23"/>
      <c r="C869" s="23"/>
      <c r="D869" s="23"/>
      <c r="E869" s="23"/>
      <c r="F869" s="24"/>
      <c r="G869" s="24"/>
    </row>
    <row r="870" spans="2:7" ht="15.75" customHeight="1" x14ac:dyDescent="0.25">
      <c r="B870" s="23"/>
      <c r="C870" s="23"/>
      <c r="D870" s="23"/>
      <c r="E870" s="23"/>
      <c r="F870" s="24"/>
      <c r="G870" s="24"/>
    </row>
    <row r="871" spans="2:7" ht="15.75" customHeight="1" x14ac:dyDescent="0.25">
      <c r="B871" s="23"/>
      <c r="C871" s="23"/>
      <c r="D871" s="23"/>
      <c r="E871" s="23"/>
      <c r="F871" s="24"/>
      <c r="G871" s="24"/>
    </row>
    <row r="872" spans="2:7" ht="15.75" customHeight="1" x14ac:dyDescent="0.25">
      <c r="B872" s="23"/>
      <c r="C872" s="23"/>
      <c r="D872" s="23"/>
      <c r="E872" s="23"/>
      <c r="F872" s="24"/>
      <c r="G872" s="24"/>
    </row>
    <row r="873" spans="2:7" ht="15.75" customHeight="1" x14ac:dyDescent="0.25">
      <c r="B873" s="23"/>
      <c r="C873" s="23"/>
      <c r="D873" s="23"/>
      <c r="E873" s="23"/>
      <c r="F873" s="24"/>
      <c r="G873" s="24"/>
    </row>
    <row r="874" spans="2:7" ht="15.75" customHeight="1" x14ac:dyDescent="0.25">
      <c r="B874" s="23"/>
      <c r="C874" s="23"/>
      <c r="D874" s="23"/>
      <c r="E874" s="23"/>
      <c r="F874" s="24"/>
      <c r="G874" s="24"/>
    </row>
    <row r="875" spans="2:7" ht="15.75" customHeight="1" x14ac:dyDescent="0.25">
      <c r="B875" s="23"/>
      <c r="C875" s="23"/>
      <c r="D875" s="23"/>
      <c r="E875" s="23"/>
      <c r="F875" s="24"/>
      <c r="G875" s="24"/>
    </row>
    <row r="876" spans="2:7" ht="15.75" customHeight="1" x14ac:dyDescent="0.25">
      <c r="B876" s="23"/>
      <c r="C876" s="23"/>
      <c r="D876" s="23"/>
      <c r="E876" s="23"/>
      <c r="F876" s="24"/>
      <c r="G876" s="24"/>
    </row>
    <row r="877" spans="2:7" ht="15.75" customHeight="1" x14ac:dyDescent="0.25">
      <c r="B877" s="23"/>
      <c r="C877" s="23"/>
      <c r="D877" s="23"/>
      <c r="E877" s="23"/>
      <c r="F877" s="24"/>
      <c r="G877" s="24"/>
    </row>
    <row r="878" spans="2:7" ht="15.75" customHeight="1" x14ac:dyDescent="0.25">
      <c r="B878" s="23"/>
      <c r="C878" s="23"/>
      <c r="D878" s="23"/>
      <c r="E878" s="23"/>
      <c r="F878" s="24"/>
      <c r="G878" s="24"/>
    </row>
    <row r="879" spans="2:7" ht="15.75" customHeight="1" x14ac:dyDescent="0.25">
      <c r="B879" s="23"/>
      <c r="C879" s="23"/>
      <c r="D879" s="23"/>
      <c r="E879" s="23"/>
      <c r="F879" s="24"/>
      <c r="G879" s="24"/>
    </row>
    <row r="880" spans="2:7" ht="15.75" customHeight="1" x14ac:dyDescent="0.25">
      <c r="B880" s="23"/>
      <c r="C880" s="23"/>
      <c r="D880" s="23"/>
      <c r="E880" s="23"/>
      <c r="F880" s="24"/>
      <c r="G880" s="24"/>
    </row>
    <row r="881" spans="2:7" ht="15.75" customHeight="1" x14ac:dyDescent="0.25">
      <c r="B881" s="23"/>
      <c r="C881" s="23"/>
      <c r="D881" s="23"/>
      <c r="E881" s="23"/>
      <c r="F881" s="24"/>
      <c r="G881" s="24"/>
    </row>
    <row r="882" spans="2:7" ht="15.75" customHeight="1" x14ac:dyDescent="0.25">
      <c r="B882" s="23"/>
      <c r="C882" s="23"/>
      <c r="D882" s="23"/>
      <c r="E882" s="23"/>
      <c r="F882" s="24"/>
      <c r="G882" s="24"/>
    </row>
    <row r="883" spans="2:7" ht="15.75" customHeight="1" x14ac:dyDescent="0.25">
      <c r="B883" s="23"/>
      <c r="C883" s="23"/>
      <c r="D883" s="23"/>
      <c r="E883" s="23"/>
      <c r="F883" s="24"/>
      <c r="G883" s="24"/>
    </row>
    <row r="884" spans="2:7" ht="15.75" customHeight="1" x14ac:dyDescent="0.25">
      <c r="B884" s="23"/>
      <c r="C884" s="23"/>
      <c r="D884" s="23"/>
      <c r="E884" s="23"/>
      <c r="F884" s="24"/>
      <c r="G884" s="24"/>
    </row>
    <row r="885" spans="2:7" ht="15.75" customHeight="1" x14ac:dyDescent="0.25">
      <c r="B885" s="23"/>
      <c r="C885" s="23"/>
      <c r="D885" s="23"/>
      <c r="E885" s="23"/>
      <c r="F885" s="24"/>
      <c r="G885" s="24"/>
    </row>
    <row r="886" spans="2:7" ht="15.75" customHeight="1" x14ac:dyDescent="0.25">
      <c r="B886" s="23"/>
      <c r="C886" s="23"/>
      <c r="D886" s="23"/>
      <c r="E886" s="23"/>
      <c r="F886" s="24"/>
      <c r="G886" s="24"/>
    </row>
    <row r="887" spans="2:7" ht="15.75" customHeight="1" x14ac:dyDescent="0.25">
      <c r="B887" s="23"/>
      <c r="C887" s="23"/>
      <c r="D887" s="23"/>
      <c r="E887" s="23"/>
      <c r="F887" s="24"/>
      <c r="G887" s="24"/>
    </row>
    <row r="888" spans="2:7" ht="15.75" customHeight="1" x14ac:dyDescent="0.25">
      <c r="B888" s="23"/>
      <c r="C888" s="23"/>
      <c r="D888" s="23"/>
      <c r="E888" s="23"/>
      <c r="F888" s="24"/>
      <c r="G888" s="24"/>
    </row>
    <row r="889" spans="2:7" ht="15.75" customHeight="1" x14ac:dyDescent="0.25">
      <c r="B889" s="23"/>
      <c r="C889" s="23"/>
      <c r="D889" s="23"/>
      <c r="E889" s="23"/>
      <c r="F889" s="24"/>
      <c r="G889" s="24"/>
    </row>
    <row r="890" spans="2:7" ht="15.75" customHeight="1" x14ac:dyDescent="0.25">
      <c r="B890" s="23"/>
      <c r="C890" s="23"/>
      <c r="D890" s="23"/>
      <c r="E890" s="23"/>
      <c r="F890" s="24"/>
      <c r="G890" s="24"/>
    </row>
    <row r="891" spans="2:7" ht="15.75" customHeight="1" x14ac:dyDescent="0.25">
      <c r="B891" s="23"/>
      <c r="C891" s="23"/>
      <c r="D891" s="23"/>
      <c r="E891" s="23"/>
      <c r="F891" s="24"/>
      <c r="G891" s="24"/>
    </row>
    <row r="892" spans="2:7" ht="15.75" customHeight="1" x14ac:dyDescent="0.25">
      <c r="B892" s="23"/>
      <c r="C892" s="23"/>
      <c r="D892" s="23"/>
      <c r="E892" s="23"/>
      <c r="F892" s="24"/>
      <c r="G892" s="24"/>
    </row>
    <row r="893" spans="2:7" ht="15.75" customHeight="1" x14ac:dyDescent="0.25">
      <c r="B893" s="23"/>
      <c r="C893" s="23"/>
      <c r="D893" s="23"/>
      <c r="E893" s="23"/>
      <c r="F893" s="24"/>
      <c r="G893" s="24"/>
    </row>
    <row r="894" spans="2:7" ht="15.75" customHeight="1" x14ac:dyDescent="0.25">
      <c r="B894" s="23"/>
      <c r="C894" s="23"/>
      <c r="D894" s="23"/>
      <c r="E894" s="23"/>
      <c r="F894" s="24"/>
      <c r="G894" s="24"/>
    </row>
    <row r="895" spans="2:7" ht="15.75" customHeight="1" x14ac:dyDescent="0.25">
      <c r="B895" s="23"/>
      <c r="C895" s="23"/>
      <c r="D895" s="23"/>
      <c r="E895" s="23"/>
      <c r="F895" s="24"/>
      <c r="G895" s="24"/>
    </row>
    <row r="896" spans="2:7" ht="15.75" customHeight="1" x14ac:dyDescent="0.25">
      <c r="B896" s="23"/>
      <c r="C896" s="23"/>
      <c r="D896" s="23"/>
      <c r="E896" s="23"/>
      <c r="F896" s="24"/>
      <c r="G896" s="24"/>
    </row>
    <row r="897" spans="2:7" ht="15.75" customHeight="1" x14ac:dyDescent="0.25">
      <c r="B897" s="23"/>
      <c r="C897" s="23"/>
      <c r="D897" s="23"/>
      <c r="E897" s="23"/>
      <c r="F897" s="24"/>
      <c r="G897" s="24"/>
    </row>
    <row r="898" spans="2:7" ht="15.75" customHeight="1" x14ac:dyDescent="0.25">
      <c r="B898" s="23"/>
      <c r="C898" s="23"/>
      <c r="D898" s="23"/>
      <c r="E898" s="23"/>
      <c r="F898" s="24"/>
      <c r="G898" s="24"/>
    </row>
    <row r="899" spans="2:7" ht="15.75" customHeight="1" x14ac:dyDescent="0.25">
      <c r="B899" s="23"/>
      <c r="C899" s="23"/>
      <c r="D899" s="23"/>
      <c r="E899" s="23"/>
      <c r="F899" s="24"/>
      <c r="G899" s="24"/>
    </row>
    <row r="900" spans="2:7" ht="15.75" customHeight="1" x14ac:dyDescent="0.25">
      <c r="B900" s="23"/>
      <c r="C900" s="23"/>
      <c r="D900" s="23"/>
      <c r="E900" s="23"/>
      <c r="F900" s="24"/>
      <c r="G900" s="24"/>
    </row>
    <row r="901" spans="2:7" ht="15.75" customHeight="1" x14ac:dyDescent="0.25">
      <c r="B901" s="23"/>
      <c r="C901" s="23"/>
      <c r="D901" s="23"/>
      <c r="E901" s="23"/>
      <c r="F901" s="24"/>
      <c r="G901" s="24"/>
    </row>
    <row r="902" spans="2:7" ht="15.75" customHeight="1" x14ac:dyDescent="0.25">
      <c r="B902" s="23"/>
      <c r="C902" s="23"/>
      <c r="D902" s="23"/>
      <c r="E902" s="23"/>
      <c r="F902" s="24"/>
      <c r="G902" s="24"/>
    </row>
    <row r="903" spans="2:7" ht="15.75" customHeight="1" x14ac:dyDescent="0.25">
      <c r="B903" s="23"/>
      <c r="C903" s="23"/>
      <c r="D903" s="23"/>
      <c r="E903" s="23"/>
      <c r="F903" s="24"/>
      <c r="G903" s="24"/>
    </row>
    <row r="904" spans="2:7" ht="15.75" customHeight="1" x14ac:dyDescent="0.25">
      <c r="B904" s="23"/>
      <c r="C904" s="23"/>
      <c r="D904" s="23"/>
      <c r="E904" s="23"/>
      <c r="F904" s="24"/>
      <c r="G904" s="24"/>
    </row>
    <row r="905" spans="2:7" ht="15.75" customHeight="1" x14ac:dyDescent="0.25">
      <c r="B905" s="23"/>
      <c r="C905" s="23"/>
      <c r="D905" s="23"/>
      <c r="E905" s="23"/>
      <c r="F905" s="24"/>
      <c r="G905" s="24"/>
    </row>
    <row r="906" spans="2:7" ht="15.75" customHeight="1" x14ac:dyDescent="0.25">
      <c r="B906" s="23"/>
      <c r="C906" s="23"/>
      <c r="D906" s="23"/>
      <c r="E906" s="23"/>
      <c r="F906" s="24"/>
      <c r="G906" s="24"/>
    </row>
    <row r="907" spans="2:7" ht="15.75" customHeight="1" x14ac:dyDescent="0.25">
      <c r="B907" s="23"/>
      <c r="C907" s="23"/>
      <c r="D907" s="23"/>
      <c r="E907" s="23"/>
      <c r="F907" s="24"/>
      <c r="G907" s="24"/>
    </row>
    <row r="908" spans="2:7" ht="15.75" customHeight="1" x14ac:dyDescent="0.25">
      <c r="B908" s="23"/>
      <c r="C908" s="23"/>
      <c r="D908" s="23"/>
      <c r="E908" s="23"/>
      <c r="F908" s="24"/>
      <c r="G908" s="24"/>
    </row>
    <row r="909" spans="2:7" ht="15.75" customHeight="1" x14ac:dyDescent="0.25">
      <c r="B909" s="23"/>
      <c r="C909" s="23"/>
      <c r="D909" s="23"/>
      <c r="E909" s="23"/>
      <c r="F909" s="24"/>
      <c r="G909" s="24"/>
    </row>
    <row r="910" spans="2:7" ht="15.75" customHeight="1" x14ac:dyDescent="0.25">
      <c r="B910" s="23"/>
      <c r="C910" s="23"/>
      <c r="D910" s="23"/>
      <c r="E910" s="23"/>
      <c r="F910" s="24"/>
      <c r="G910" s="24"/>
    </row>
    <row r="911" spans="2:7" ht="15.75" customHeight="1" x14ac:dyDescent="0.25">
      <c r="B911" s="23"/>
      <c r="C911" s="23"/>
      <c r="D911" s="23"/>
      <c r="E911" s="23"/>
      <c r="F911" s="24"/>
      <c r="G911" s="24"/>
    </row>
    <row r="912" spans="2:7" ht="15.75" customHeight="1" x14ac:dyDescent="0.25">
      <c r="B912" s="23"/>
      <c r="C912" s="23"/>
      <c r="D912" s="23"/>
      <c r="E912" s="23"/>
      <c r="F912" s="24"/>
      <c r="G912" s="24"/>
    </row>
    <row r="913" spans="2:7" ht="15.75" customHeight="1" x14ac:dyDescent="0.25">
      <c r="B913" s="23"/>
      <c r="C913" s="23"/>
      <c r="D913" s="23"/>
      <c r="E913" s="23"/>
      <c r="F913" s="24"/>
      <c r="G913" s="24"/>
    </row>
    <row r="914" spans="2:7" ht="15.75" customHeight="1" x14ac:dyDescent="0.25">
      <c r="B914" s="23"/>
      <c r="C914" s="23"/>
      <c r="D914" s="23"/>
      <c r="E914" s="23"/>
      <c r="F914" s="24"/>
      <c r="G914" s="24"/>
    </row>
    <row r="915" spans="2:7" ht="15.75" customHeight="1" x14ac:dyDescent="0.25">
      <c r="B915" s="23"/>
      <c r="C915" s="23"/>
      <c r="D915" s="23"/>
      <c r="E915" s="23"/>
      <c r="F915" s="24"/>
      <c r="G915" s="24"/>
    </row>
    <row r="916" spans="2:7" ht="15.75" customHeight="1" x14ac:dyDescent="0.25">
      <c r="B916" s="23"/>
      <c r="C916" s="23"/>
      <c r="D916" s="23"/>
      <c r="E916" s="23"/>
      <c r="F916" s="24"/>
      <c r="G916" s="24"/>
    </row>
    <row r="917" spans="2:7" ht="15.75" customHeight="1" x14ac:dyDescent="0.25">
      <c r="B917" s="23"/>
      <c r="C917" s="23"/>
      <c r="D917" s="23"/>
      <c r="E917" s="23"/>
      <c r="F917" s="24"/>
      <c r="G917" s="24"/>
    </row>
    <row r="918" spans="2:7" ht="15.75" customHeight="1" x14ac:dyDescent="0.25">
      <c r="B918" s="23"/>
      <c r="C918" s="23"/>
      <c r="D918" s="23"/>
      <c r="E918" s="23"/>
      <c r="F918" s="24"/>
      <c r="G918" s="24"/>
    </row>
    <row r="919" spans="2:7" ht="15.75" customHeight="1" x14ac:dyDescent="0.25">
      <c r="B919" s="23"/>
      <c r="C919" s="23"/>
      <c r="D919" s="23"/>
      <c r="E919" s="23"/>
      <c r="F919" s="24"/>
      <c r="G919" s="24"/>
    </row>
    <row r="920" spans="2:7" ht="15.75" customHeight="1" x14ac:dyDescent="0.25">
      <c r="B920" s="23"/>
      <c r="C920" s="23"/>
      <c r="D920" s="23"/>
      <c r="E920" s="23"/>
      <c r="F920" s="24"/>
      <c r="G920" s="24"/>
    </row>
    <row r="921" spans="2:7" ht="15.75" customHeight="1" x14ac:dyDescent="0.25">
      <c r="B921" s="23"/>
      <c r="C921" s="23"/>
      <c r="D921" s="23"/>
      <c r="E921" s="23"/>
      <c r="F921" s="24"/>
      <c r="G921" s="24"/>
    </row>
    <row r="922" spans="2:7" ht="15.75" customHeight="1" x14ac:dyDescent="0.25">
      <c r="B922" s="23"/>
      <c r="C922" s="23"/>
      <c r="D922" s="23"/>
      <c r="E922" s="23"/>
      <c r="F922" s="24"/>
      <c r="G922" s="24"/>
    </row>
    <row r="923" spans="2:7" ht="15.75" customHeight="1" x14ac:dyDescent="0.25">
      <c r="B923" s="23"/>
      <c r="C923" s="23"/>
      <c r="D923" s="23"/>
      <c r="E923" s="23"/>
      <c r="F923" s="24"/>
      <c r="G923" s="24"/>
    </row>
    <row r="924" spans="2:7" ht="15.75" customHeight="1" x14ac:dyDescent="0.25">
      <c r="B924" s="23"/>
      <c r="C924" s="23"/>
      <c r="D924" s="23"/>
      <c r="E924" s="23"/>
      <c r="F924" s="24"/>
      <c r="G924" s="24"/>
    </row>
    <row r="925" spans="2:7" ht="15.75" customHeight="1" x14ac:dyDescent="0.25">
      <c r="B925" s="23"/>
      <c r="C925" s="23"/>
      <c r="D925" s="23"/>
      <c r="E925" s="23"/>
      <c r="F925" s="24"/>
      <c r="G925" s="24"/>
    </row>
    <row r="926" spans="2:7" ht="15.75" customHeight="1" x14ac:dyDescent="0.25">
      <c r="B926" s="23"/>
      <c r="C926" s="23"/>
      <c r="D926" s="23"/>
      <c r="E926" s="23"/>
      <c r="F926" s="24"/>
      <c r="G926" s="24"/>
    </row>
    <row r="927" spans="2:7" ht="15.75" customHeight="1" x14ac:dyDescent="0.25">
      <c r="B927" s="23"/>
      <c r="C927" s="23"/>
      <c r="D927" s="23"/>
      <c r="E927" s="23"/>
      <c r="F927" s="24"/>
      <c r="G927" s="24"/>
    </row>
    <row r="928" spans="2:7" ht="15.75" customHeight="1" x14ac:dyDescent="0.25">
      <c r="B928" s="23"/>
      <c r="C928" s="23"/>
      <c r="D928" s="23"/>
      <c r="E928" s="23"/>
      <c r="F928" s="24"/>
      <c r="G928" s="24"/>
    </row>
    <row r="929" spans="2:7" ht="15.75" customHeight="1" x14ac:dyDescent="0.25">
      <c r="B929" s="23"/>
      <c r="C929" s="23"/>
      <c r="D929" s="23"/>
      <c r="E929" s="23"/>
      <c r="F929" s="24"/>
      <c r="G929" s="24"/>
    </row>
    <row r="930" spans="2:7" ht="15.75" customHeight="1" x14ac:dyDescent="0.25">
      <c r="B930" s="23"/>
      <c r="C930" s="23"/>
      <c r="D930" s="23"/>
      <c r="E930" s="23"/>
      <c r="F930" s="24"/>
      <c r="G930" s="24"/>
    </row>
    <row r="931" spans="2:7" ht="15.75" customHeight="1" x14ac:dyDescent="0.25">
      <c r="B931" s="23"/>
      <c r="C931" s="23"/>
      <c r="D931" s="23"/>
      <c r="E931" s="23"/>
      <c r="F931" s="24"/>
      <c r="G931" s="24"/>
    </row>
    <row r="932" spans="2:7" ht="15.75" customHeight="1" x14ac:dyDescent="0.25">
      <c r="B932" s="23"/>
      <c r="C932" s="23"/>
      <c r="D932" s="23"/>
      <c r="E932" s="23"/>
      <c r="F932" s="24"/>
      <c r="G932" s="24"/>
    </row>
    <row r="933" spans="2:7" ht="15.75" customHeight="1" x14ac:dyDescent="0.25">
      <c r="B933" s="23"/>
      <c r="C933" s="23"/>
      <c r="D933" s="23"/>
      <c r="E933" s="23"/>
      <c r="F933" s="24"/>
      <c r="G933" s="24"/>
    </row>
    <row r="934" spans="2:7" ht="15.75" customHeight="1" x14ac:dyDescent="0.25">
      <c r="B934" s="23"/>
      <c r="C934" s="23"/>
      <c r="D934" s="23"/>
      <c r="E934" s="23"/>
      <c r="F934" s="24"/>
      <c r="G934" s="24"/>
    </row>
    <row r="935" spans="2:7" ht="15.75" customHeight="1" x14ac:dyDescent="0.25">
      <c r="B935" s="23"/>
      <c r="C935" s="23"/>
      <c r="D935" s="23"/>
      <c r="E935" s="23"/>
      <c r="F935" s="24"/>
      <c r="G935" s="24"/>
    </row>
    <row r="936" spans="2:7" ht="15.75" customHeight="1" x14ac:dyDescent="0.25">
      <c r="B936" s="23"/>
      <c r="C936" s="23"/>
      <c r="D936" s="23"/>
      <c r="E936" s="23"/>
      <c r="F936" s="24"/>
      <c r="G936" s="24"/>
    </row>
    <row r="937" spans="2:7" ht="15.75" customHeight="1" x14ac:dyDescent="0.25">
      <c r="B937" s="23"/>
      <c r="C937" s="23"/>
      <c r="D937" s="23"/>
      <c r="E937" s="23"/>
      <c r="F937" s="24"/>
      <c r="G937" s="24"/>
    </row>
    <row r="938" spans="2:7" ht="15.75" customHeight="1" x14ac:dyDescent="0.25">
      <c r="B938" s="23"/>
      <c r="C938" s="23"/>
      <c r="D938" s="23"/>
      <c r="E938" s="23"/>
      <c r="F938" s="24"/>
      <c r="G938" s="24"/>
    </row>
    <row r="939" spans="2:7" ht="15.75" customHeight="1" x14ac:dyDescent="0.25">
      <c r="B939" s="23"/>
      <c r="C939" s="23"/>
      <c r="D939" s="23"/>
      <c r="E939" s="23"/>
      <c r="F939" s="24"/>
      <c r="G939" s="24"/>
    </row>
    <row r="940" spans="2:7" ht="15.75" customHeight="1" x14ac:dyDescent="0.25">
      <c r="B940" s="23"/>
      <c r="C940" s="23"/>
      <c r="D940" s="23"/>
      <c r="E940" s="23"/>
      <c r="F940" s="24"/>
      <c r="G940" s="24"/>
    </row>
    <row r="941" spans="2:7" ht="15.75" customHeight="1" x14ac:dyDescent="0.25">
      <c r="B941" s="23"/>
      <c r="C941" s="23"/>
      <c r="D941" s="23"/>
      <c r="E941" s="23"/>
      <c r="F941" s="24"/>
      <c r="G941" s="24"/>
    </row>
    <row r="942" spans="2:7" ht="15.75" customHeight="1" x14ac:dyDescent="0.25">
      <c r="B942" s="23"/>
      <c r="C942" s="23"/>
      <c r="D942" s="23"/>
      <c r="E942" s="23"/>
      <c r="F942" s="24"/>
      <c r="G942" s="24"/>
    </row>
    <row r="943" spans="2:7" ht="15.75" customHeight="1" x14ac:dyDescent="0.25">
      <c r="B943" s="23"/>
      <c r="C943" s="23"/>
      <c r="D943" s="23"/>
      <c r="E943" s="23"/>
      <c r="F943" s="24"/>
      <c r="G943" s="24"/>
    </row>
    <row r="944" spans="2:7" ht="15.75" customHeight="1" x14ac:dyDescent="0.25">
      <c r="B944" s="23"/>
      <c r="C944" s="23"/>
      <c r="D944" s="23"/>
      <c r="E944" s="23"/>
      <c r="F944" s="24"/>
      <c r="G944" s="24"/>
    </row>
    <row r="945" spans="2:7" ht="15.75" customHeight="1" x14ac:dyDescent="0.25">
      <c r="B945" s="23"/>
      <c r="C945" s="23"/>
      <c r="D945" s="23"/>
      <c r="E945" s="23"/>
      <c r="F945" s="24"/>
      <c r="G945" s="24"/>
    </row>
    <row r="946" spans="2:7" ht="15.75" customHeight="1" x14ac:dyDescent="0.25">
      <c r="B946" s="23"/>
      <c r="C946" s="23"/>
      <c r="D946" s="23"/>
      <c r="E946" s="23"/>
      <c r="F946" s="24"/>
      <c r="G946" s="24"/>
    </row>
    <row r="947" spans="2:7" ht="15.75" customHeight="1" x14ac:dyDescent="0.25">
      <c r="B947" s="23"/>
      <c r="C947" s="23"/>
      <c r="D947" s="23"/>
      <c r="E947" s="23"/>
      <c r="F947" s="24"/>
      <c r="G947" s="24"/>
    </row>
    <row r="948" spans="2:7" ht="15.75" customHeight="1" x14ac:dyDescent="0.25">
      <c r="B948" s="23"/>
      <c r="C948" s="23"/>
      <c r="D948" s="23"/>
      <c r="E948" s="23"/>
      <c r="F948" s="24"/>
      <c r="G948" s="24"/>
    </row>
    <row r="949" spans="2:7" ht="15.75" customHeight="1" x14ac:dyDescent="0.25">
      <c r="B949" s="23"/>
      <c r="C949" s="23"/>
      <c r="D949" s="23"/>
      <c r="E949" s="23"/>
      <c r="F949" s="24"/>
      <c r="G949" s="24"/>
    </row>
    <row r="950" spans="2:7" ht="15.75" customHeight="1" x14ac:dyDescent="0.25">
      <c r="B950" s="23"/>
      <c r="C950" s="23"/>
      <c r="D950" s="23"/>
      <c r="E950" s="23"/>
      <c r="F950" s="24"/>
      <c r="G950" s="24"/>
    </row>
    <row r="951" spans="2:7" ht="15.75" customHeight="1" x14ac:dyDescent="0.25">
      <c r="B951" s="23"/>
      <c r="C951" s="23"/>
      <c r="D951" s="23"/>
      <c r="E951" s="23"/>
      <c r="F951" s="24"/>
      <c r="G951" s="24"/>
    </row>
    <row r="952" spans="2:7" ht="15.75" customHeight="1" x14ac:dyDescent="0.25">
      <c r="B952" s="23"/>
      <c r="C952" s="23"/>
      <c r="D952" s="23"/>
      <c r="E952" s="23"/>
      <c r="F952" s="24"/>
      <c r="G952" s="24"/>
    </row>
    <row r="953" spans="2:7" ht="15.75" customHeight="1" x14ac:dyDescent="0.25">
      <c r="B953" s="23"/>
      <c r="C953" s="23"/>
      <c r="D953" s="23"/>
      <c r="E953" s="23"/>
      <c r="F953" s="24"/>
      <c r="G953" s="24"/>
    </row>
    <row r="954" spans="2:7" ht="15.75" customHeight="1" x14ac:dyDescent="0.25">
      <c r="B954" s="23"/>
      <c r="C954" s="23"/>
      <c r="D954" s="23"/>
      <c r="E954" s="23"/>
      <c r="F954" s="24"/>
      <c r="G954" s="24"/>
    </row>
    <row r="955" spans="2:7" ht="15.75" customHeight="1" x14ac:dyDescent="0.25">
      <c r="B955" s="23"/>
      <c r="C955" s="23"/>
      <c r="D955" s="23"/>
      <c r="E955" s="23"/>
      <c r="F955" s="24"/>
      <c r="G955" s="24"/>
    </row>
    <row r="956" spans="2:7" ht="15.75" customHeight="1" x14ac:dyDescent="0.25">
      <c r="B956" s="23"/>
      <c r="C956" s="23"/>
      <c r="D956" s="23"/>
      <c r="E956" s="23"/>
      <c r="F956" s="24"/>
      <c r="G956" s="24"/>
    </row>
    <row r="957" spans="2:7" ht="15.75" customHeight="1" x14ac:dyDescent="0.25">
      <c r="B957" s="23"/>
      <c r="C957" s="23"/>
      <c r="D957" s="23"/>
      <c r="E957" s="23"/>
      <c r="F957" s="24"/>
      <c r="G957" s="24"/>
    </row>
    <row r="958" spans="2:7" ht="15.75" customHeight="1" x14ac:dyDescent="0.25">
      <c r="B958" s="23"/>
      <c r="C958" s="23"/>
      <c r="D958" s="23"/>
      <c r="E958" s="23"/>
      <c r="F958" s="24"/>
      <c r="G958" s="24"/>
    </row>
    <row r="959" spans="2:7" ht="15.75" customHeight="1" x14ac:dyDescent="0.25">
      <c r="B959" s="23"/>
      <c r="C959" s="23"/>
      <c r="D959" s="23"/>
      <c r="E959" s="23"/>
      <c r="F959" s="24"/>
      <c r="G959" s="24"/>
    </row>
    <row r="960" spans="2:7" ht="15.75" customHeight="1" x14ac:dyDescent="0.25">
      <c r="B960" s="23"/>
      <c r="C960" s="23"/>
      <c r="D960" s="23"/>
      <c r="E960" s="23"/>
      <c r="F960" s="24"/>
      <c r="G960" s="24"/>
    </row>
    <row r="961" spans="2:7" ht="15.75" customHeight="1" x14ac:dyDescent="0.25">
      <c r="B961" s="23"/>
      <c r="C961" s="23"/>
      <c r="D961" s="23"/>
      <c r="E961" s="23"/>
      <c r="F961" s="24"/>
      <c r="G961" s="24"/>
    </row>
    <row r="962" spans="2:7" ht="15.75" customHeight="1" x14ac:dyDescent="0.25">
      <c r="B962" s="23"/>
      <c r="C962" s="23"/>
      <c r="D962" s="23"/>
      <c r="E962" s="23"/>
      <c r="F962" s="24"/>
      <c r="G962" s="24"/>
    </row>
    <row r="963" spans="2:7" ht="15.75" customHeight="1" x14ac:dyDescent="0.25">
      <c r="B963" s="23"/>
      <c r="C963" s="23"/>
      <c r="D963" s="23"/>
      <c r="E963" s="23"/>
      <c r="F963" s="24"/>
      <c r="G963" s="24"/>
    </row>
    <row r="964" spans="2:7" ht="15.75" customHeight="1" x14ac:dyDescent="0.25">
      <c r="B964" s="23"/>
      <c r="C964" s="23"/>
      <c r="D964" s="23"/>
      <c r="E964" s="23"/>
      <c r="F964" s="24"/>
      <c r="G964" s="24"/>
    </row>
    <row r="965" spans="2:7" ht="15.75" customHeight="1" x14ac:dyDescent="0.25">
      <c r="B965" s="23"/>
      <c r="C965" s="23"/>
      <c r="D965" s="23"/>
      <c r="E965" s="23"/>
      <c r="F965" s="24"/>
      <c r="G965" s="24"/>
    </row>
    <row r="966" spans="2:7" ht="15.75" customHeight="1" x14ac:dyDescent="0.25">
      <c r="B966" s="23"/>
      <c r="C966" s="23"/>
      <c r="D966" s="23"/>
      <c r="E966" s="23"/>
      <c r="F966" s="24"/>
      <c r="G966" s="24"/>
    </row>
    <row r="967" spans="2:7" ht="15.75" customHeight="1" x14ac:dyDescent="0.25">
      <c r="B967" s="23"/>
      <c r="C967" s="23"/>
      <c r="D967" s="23"/>
      <c r="E967" s="23"/>
      <c r="F967" s="24"/>
      <c r="G967" s="24"/>
    </row>
    <row r="968" spans="2:7" ht="15.75" customHeight="1" x14ac:dyDescent="0.25">
      <c r="B968" s="23"/>
      <c r="C968" s="23"/>
      <c r="D968" s="23"/>
      <c r="E968" s="23"/>
      <c r="F968" s="24"/>
      <c r="G968" s="24"/>
    </row>
    <row r="969" spans="2:7" ht="15.75" customHeight="1" x14ac:dyDescent="0.25">
      <c r="B969" s="23"/>
      <c r="C969" s="23"/>
      <c r="D969" s="23"/>
      <c r="E969" s="23"/>
      <c r="F969" s="24"/>
      <c r="G969" s="24"/>
    </row>
    <row r="970" spans="2:7" ht="15.75" customHeight="1" x14ac:dyDescent="0.25">
      <c r="B970" s="23"/>
      <c r="C970" s="23"/>
      <c r="D970" s="23"/>
      <c r="E970" s="23"/>
      <c r="F970" s="24"/>
      <c r="G970" s="24"/>
    </row>
    <row r="971" spans="2:7" ht="15.75" customHeight="1" x14ac:dyDescent="0.25">
      <c r="B971" s="23"/>
      <c r="C971" s="23"/>
      <c r="D971" s="23"/>
      <c r="E971" s="23"/>
      <c r="F971" s="24"/>
      <c r="G971" s="24"/>
    </row>
    <row r="972" spans="2:7" ht="15.75" customHeight="1" x14ac:dyDescent="0.25">
      <c r="B972" s="23"/>
      <c r="C972" s="23"/>
      <c r="D972" s="23"/>
      <c r="E972" s="23"/>
      <c r="F972" s="24"/>
      <c r="G972" s="24"/>
    </row>
    <row r="973" spans="2:7" ht="15.75" customHeight="1" x14ac:dyDescent="0.25">
      <c r="B973" s="23"/>
      <c r="C973" s="23"/>
      <c r="D973" s="23"/>
      <c r="E973" s="23"/>
      <c r="F973" s="24"/>
      <c r="G973" s="24"/>
    </row>
    <row r="974" spans="2:7" ht="15.75" customHeight="1" x14ac:dyDescent="0.25">
      <c r="B974" s="23"/>
      <c r="C974" s="23"/>
      <c r="D974" s="23"/>
      <c r="E974" s="23"/>
      <c r="F974" s="24"/>
      <c r="G974" s="24"/>
    </row>
    <row r="975" spans="2:7" ht="15.75" customHeight="1" x14ac:dyDescent="0.25">
      <c r="B975" s="23"/>
      <c r="C975" s="23"/>
      <c r="D975" s="23"/>
      <c r="E975" s="23"/>
      <c r="F975" s="24"/>
      <c r="G975" s="24"/>
    </row>
    <row r="976" spans="2:7" ht="15.75" customHeight="1" x14ac:dyDescent="0.25">
      <c r="B976" s="23"/>
      <c r="C976" s="23"/>
      <c r="D976" s="23"/>
      <c r="E976" s="23"/>
      <c r="F976" s="24"/>
      <c r="G976" s="24"/>
    </row>
    <row r="977" spans="2:7" ht="15.75" customHeight="1" x14ac:dyDescent="0.25">
      <c r="B977" s="23"/>
      <c r="C977" s="23"/>
      <c r="D977" s="23"/>
      <c r="E977" s="23"/>
      <c r="F977" s="24"/>
      <c r="G977" s="24"/>
    </row>
    <row r="978" spans="2:7" ht="15.75" customHeight="1" x14ac:dyDescent="0.25">
      <c r="B978" s="23"/>
      <c r="C978" s="23"/>
      <c r="D978" s="23"/>
      <c r="E978" s="23"/>
      <c r="F978" s="24"/>
      <c r="G978" s="24"/>
    </row>
    <row r="979" spans="2:7" ht="15.75" customHeight="1" x14ac:dyDescent="0.25">
      <c r="B979" s="23"/>
      <c r="C979" s="23"/>
      <c r="D979" s="23"/>
      <c r="E979" s="23"/>
      <c r="F979" s="24"/>
      <c r="G979" s="24"/>
    </row>
    <row r="980" spans="2:7" ht="15.75" customHeight="1" x14ac:dyDescent="0.25">
      <c r="B980" s="23"/>
      <c r="C980" s="23"/>
      <c r="D980" s="23"/>
      <c r="E980" s="23"/>
      <c r="F980" s="24"/>
      <c r="G980" s="24"/>
    </row>
    <row r="981" spans="2:7" ht="15.75" customHeight="1" x14ac:dyDescent="0.25">
      <c r="B981" s="23"/>
      <c r="C981" s="23"/>
      <c r="D981" s="23"/>
      <c r="E981" s="23"/>
      <c r="F981" s="24"/>
      <c r="G981" s="24"/>
    </row>
    <row r="982" spans="2:7" ht="15.75" customHeight="1" x14ac:dyDescent="0.25">
      <c r="B982" s="23"/>
      <c r="C982" s="23"/>
      <c r="D982" s="23"/>
      <c r="E982" s="23"/>
      <c r="F982" s="24"/>
      <c r="G982" s="24"/>
    </row>
    <row r="983" spans="2:7" ht="15.75" customHeight="1" x14ac:dyDescent="0.25">
      <c r="B983" s="23"/>
      <c r="C983" s="23"/>
      <c r="D983" s="23"/>
      <c r="E983" s="23"/>
      <c r="F983" s="24"/>
      <c r="G983" s="24"/>
    </row>
    <row r="984" spans="2:7" ht="15.75" customHeight="1" x14ac:dyDescent="0.25">
      <c r="B984" s="23"/>
      <c r="C984" s="23"/>
      <c r="D984" s="23"/>
      <c r="E984" s="23"/>
      <c r="F984" s="24"/>
      <c r="G984" s="24"/>
    </row>
    <row r="985" spans="2:7" ht="15.75" customHeight="1" x14ac:dyDescent="0.25">
      <c r="B985" s="23"/>
      <c r="C985" s="23"/>
      <c r="D985" s="23"/>
      <c r="E985" s="23"/>
      <c r="F985" s="24"/>
      <c r="G985" s="24"/>
    </row>
    <row r="986" spans="2:7" ht="15.75" customHeight="1" x14ac:dyDescent="0.25">
      <c r="B986" s="23"/>
      <c r="C986" s="23"/>
      <c r="D986" s="23"/>
      <c r="E986" s="23"/>
      <c r="F986" s="24"/>
      <c r="G986" s="24"/>
    </row>
    <row r="987" spans="2:7" ht="15.75" customHeight="1" x14ac:dyDescent="0.25">
      <c r="B987" s="23"/>
      <c r="C987" s="23"/>
      <c r="D987" s="23"/>
      <c r="E987" s="23"/>
      <c r="F987" s="24"/>
      <c r="G987" s="24"/>
    </row>
    <row r="988" spans="2:7" ht="15.75" customHeight="1" x14ac:dyDescent="0.25">
      <c r="B988" s="23"/>
      <c r="C988" s="23"/>
      <c r="D988" s="23"/>
      <c r="E988" s="23"/>
      <c r="F988" s="24"/>
      <c r="G988" s="24"/>
    </row>
    <row r="989" spans="2:7" ht="15.75" customHeight="1" x14ac:dyDescent="0.25">
      <c r="B989" s="23"/>
      <c r="C989" s="23"/>
      <c r="D989" s="23"/>
      <c r="E989" s="23"/>
      <c r="F989" s="24"/>
      <c r="G989" s="24"/>
    </row>
    <row r="990" spans="2:7" ht="15.75" customHeight="1" x14ac:dyDescent="0.25">
      <c r="B990" s="23"/>
      <c r="C990" s="23"/>
      <c r="D990" s="23"/>
      <c r="E990" s="23"/>
      <c r="F990" s="24"/>
      <c r="G990" s="24"/>
    </row>
    <row r="991" spans="2:7" ht="15.75" customHeight="1" x14ac:dyDescent="0.25">
      <c r="B991" s="23"/>
      <c r="C991" s="23"/>
      <c r="D991" s="23"/>
      <c r="E991" s="23"/>
      <c r="F991" s="24"/>
      <c r="G991" s="24"/>
    </row>
    <row r="992" spans="2:7" ht="15.75" customHeight="1" x14ac:dyDescent="0.25">
      <c r="B992" s="23"/>
      <c r="C992" s="23"/>
      <c r="D992" s="23"/>
      <c r="E992" s="23"/>
      <c r="F992" s="24"/>
      <c r="G992" s="24"/>
    </row>
    <row r="993" spans="2:7" ht="15.75" customHeight="1" x14ac:dyDescent="0.25">
      <c r="B993" s="23"/>
      <c r="C993" s="23"/>
      <c r="D993" s="23"/>
      <c r="E993" s="23"/>
      <c r="F993" s="24"/>
      <c r="G993" s="24"/>
    </row>
    <row r="994" spans="2:7" ht="15.75" customHeight="1" x14ac:dyDescent="0.25">
      <c r="B994" s="23"/>
      <c r="C994" s="23"/>
      <c r="D994" s="23"/>
      <c r="E994" s="23"/>
      <c r="F994" s="24"/>
      <c r="G994" s="24"/>
    </row>
    <row r="995" spans="2:7" ht="15.75" customHeight="1" x14ac:dyDescent="0.25">
      <c r="B995" s="23"/>
      <c r="C995" s="23"/>
      <c r="D995" s="23"/>
      <c r="E995" s="23"/>
      <c r="F995" s="24"/>
      <c r="G995" s="24"/>
    </row>
    <row r="996" spans="2:7" ht="15" customHeight="1" x14ac:dyDescent="0.25">
      <c r="B996" s="23"/>
      <c r="C996" s="23"/>
      <c r="D996" s="23"/>
      <c r="E996" s="23"/>
      <c r="F996" s="24"/>
      <c r="G996" s="24"/>
    </row>
    <row r="997" spans="2:7" ht="15" customHeight="1" x14ac:dyDescent="0.25">
      <c r="B997" s="23"/>
      <c r="C997" s="23"/>
      <c r="D997" s="23"/>
      <c r="E997" s="23"/>
      <c r="F997" s="24"/>
      <c r="G997" s="24"/>
    </row>
    <row r="998" spans="2:7" ht="15" customHeight="1" x14ac:dyDescent="0.25">
      <c r="B998" s="23"/>
      <c r="C998" s="23"/>
      <c r="D998" s="23"/>
      <c r="E998" s="23"/>
      <c r="F998" s="24"/>
      <c r="G998" s="24"/>
    </row>
  </sheetData>
  <mergeCells count="8">
    <mergeCell ref="A33:E33"/>
    <mergeCell ref="F33:H33"/>
    <mergeCell ref="A17:E17"/>
    <mergeCell ref="F17:H17"/>
    <mergeCell ref="A1:G1"/>
    <mergeCell ref="A2:G2"/>
    <mergeCell ref="A3:E3"/>
    <mergeCell ref="F3:H3"/>
  </mergeCells>
  <printOptions horizontalCentered="1"/>
  <pageMargins left="0.51181102362204722" right="0.51181102362204722" top="0.78740157480314965" bottom="0.78740157480314965" header="0" footer="0"/>
  <pageSetup paperSize="9" scale="58" fitToHeight="0" orientation="landscape" r:id="rId1"/>
  <rowBreaks count="1" manualBreakCount="1">
    <brk id="31" max="16383" man="1"/>
  </rowBreaks>
  <drawing r:id="rId2"/>
  <tableParts count="3">
    <tablePart r:id="rId3"/>
    <tablePart r:id="rId4"/>
    <tablePart r:id="rId5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  <pageSetUpPr fitToPage="1"/>
  </sheetPr>
  <dimension ref="A1:AA1040"/>
  <sheetViews>
    <sheetView workbookViewId="0">
      <selection sqref="A1:G1"/>
    </sheetView>
  </sheetViews>
  <sheetFormatPr defaultColWidth="14.42578125" defaultRowHeight="15" customHeight="1" x14ac:dyDescent="0.25"/>
  <cols>
    <col min="1" max="1" width="70.42578125" customWidth="1"/>
    <col min="2" max="2" width="13.85546875" customWidth="1"/>
    <col min="3" max="3" width="25.7109375" customWidth="1"/>
    <col min="4" max="4" width="24.5703125" customWidth="1"/>
    <col min="5" max="5" width="24.5703125" bestFit="1" customWidth="1"/>
    <col min="6" max="6" width="17.7109375" bestFit="1" customWidth="1"/>
    <col min="7" max="7" width="15.7109375" bestFit="1" customWidth="1"/>
    <col min="8" max="8" width="16.85546875" bestFit="1" customWidth="1"/>
    <col min="9" max="9" width="15" bestFit="1" customWidth="1"/>
    <col min="10" max="27" width="8.7109375" customWidth="1"/>
  </cols>
  <sheetData>
    <row r="1" spans="1:27" s="38" customFormat="1" ht="40.5" customHeight="1" x14ac:dyDescent="0.25">
      <c r="A1" s="434" t="s">
        <v>1116</v>
      </c>
      <c r="B1" s="434"/>
      <c r="C1" s="434"/>
      <c r="D1" s="434"/>
      <c r="E1" s="434"/>
      <c r="F1" s="434"/>
      <c r="G1" s="434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</row>
    <row r="2" spans="1:27" ht="15.75" x14ac:dyDescent="0.25">
      <c r="A2" s="610"/>
      <c r="B2" s="611"/>
      <c r="C2" s="611"/>
      <c r="D2" s="611"/>
      <c r="E2" s="611"/>
      <c r="F2" s="611"/>
      <c r="G2" s="611"/>
    </row>
    <row r="3" spans="1:27" ht="15.75" x14ac:dyDescent="0.25">
      <c r="A3" s="606" t="s">
        <v>1226</v>
      </c>
      <c r="B3" s="607"/>
      <c r="C3" s="607"/>
      <c r="D3" s="607"/>
      <c r="E3" s="608"/>
      <c r="F3" s="609" t="s">
        <v>912</v>
      </c>
      <c r="G3" s="609"/>
    </row>
    <row r="4" spans="1:27" s="113" customFormat="1" x14ac:dyDescent="0.25">
      <c r="A4" s="114" t="s">
        <v>908</v>
      </c>
      <c r="B4" s="114" t="s">
        <v>55</v>
      </c>
      <c r="C4" s="27" t="s">
        <v>1105</v>
      </c>
      <c r="D4" s="27" t="s">
        <v>1106</v>
      </c>
      <c r="E4" s="27" t="s">
        <v>909</v>
      </c>
      <c r="F4" s="116" t="s">
        <v>913</v>
      </c>
      <c r="G4" s="116" t="s">
        <v>910</v>
      </c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</row>
    <row r="5" spans="1:27" s="113" customFormat="1" x14ac:dyDescent="0.25">
      <c r="A5" s="45" t="s">
        <v>1107</v>
      </c>
      <c r="B5" s="114" t="s">
        <v>1104</v>
      </c>
      <c r="C5" s="120">
        <v>1500</v>
      </c>
      <c r="D5" s="336">
        <f t="shared" ref="D5:D21" si="0">C5*12</f>
        <v>18000</v>
      </c>
      <c r="E5" s="250">
        <v>2.11</v>
      </c>
      <c r="F5" s="116">
        <f t="shared" ref="F5:F21" si="1">E5*C5</f>
        <v>3165</v>
      </c>
      <c r="G5" s="116">
        <f t="shared" ref="G5:G21" si="2">F5*12</f>
        <v>37980</v>
      </c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</row>
    <row r="6" spans="1:27" s="113" customFormat="1" x14ac:dyDescent="0.25">
      <c r="A6" s="45" t="s">
        <v>1108</v>
      </c>
      <c r="B6" s="114" t="s">
        <v>1104</v>
      </c>
      <c r="C6" s="120">
        <f>1000</f>
        <v>1000</v>
      </c>
      <c r="D6" s="336">
        <f t="shared" si="0"/>
        <v>12000</v>
      </c>
      <c r="E6" s="250">
        <v>20</v>
      </c>
      <c r="F6" s="116">
        <f t="shared" si="1"/>
        <v>20000</v>
      </c>
      <c r="G6" s="116">
        <f t="shared" si="2"/>
        <v>240000</v>
      </c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</row>
    <row r="7" spans="1:27" s="113" customFormat="1" x14ac:dyDescent="0.25">
      <c r="A7" s="45" t="s">
        <v>1109</v>
      </c>
      <c r="B7" s="114" t="s">
        <v>1104</v>
      </c>
      <c r="C7" s="120">
        <f>250*5</f>
        <v>1250</v>
      </c>
      <c r="D7" s="336">
        <f t="shared" si="0"/>
        <v>15000</v>
      </c>
      <c r="E7" s="250">
        <v>7.89</v>
      </c>
      <c r="F7" s="116">
        <f t="shared" si="1"/>
        <v>9862.5</v>
      </c>
      <c r="G7" s="116">
        <f t="shared" si="2"/>
        <v>118350</v>
      </c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</row>
    <row r="8" spans="1:27" s="113" customFormat="1" x14ac:dyDescent="0.25">
      <c r="A8" s="45" t="s">
        <v>1110</v>
      </c>
      <c r="B8" s="114" t="s">
        <v>1104</v>
      </c>
      <c r="C8" s="120">
        <v>300</v>
      </c>
      <c r="D8" s="336">
        <f t="shared" si="0"/>
        <v>3600</v>
      </c>
      <c r="E8" s="250">
        <f>47/5</f>
        <v>9.4</v>
      </c>
      <c r="F8" s="116">
        <f t="shared" si="1"/>
        <v>2820</v>
      </c>
      <c r="G8" s="116">
        <f t="shared" si="2"/>
        <v>33840</v>
      </c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</row>
    <row r="9" spans="1:27" s="113" customFormat="1" x14ac:dyDescent="0.25">
      <c r="A9" s="45" t="s">
        <v>1111</v>
      </c>
      <c r="B9" s="114" t="s">
        <v>1104</v>
      </c>
      <c r="C9" s="120">
        <v>1000</v>
      </c>
      <c r="D9" s="336">
        <f t="shared" si="0"/>
        <v>12000</v>
      </c>
      <c r="E9" s="250">
        <f>21.68/5</f>
        <v>4.3360000000000003</v>
      </c>
      <c r="F9" s="116">
        <f t="shared" si="1"/>
        <v>4336</v>
      </c>
      <c r="G9" s="116">
        <f t="shared" si="2"/>
        <v>52032</v>
      </c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</row>
    <row r="10" spans="1:27" s="113" customFormat="1" x14ac:dyDescent="0.25">
      <c r="A10" s="45" t="s">
        <v>1117</v>
      </c>
      <c r="B10" s="114" t="s">
        <v>1104</v>
      </c>
      <c r="C10" s="120">
        <v>50</v>
      </c>
      <c r="D10" s="336">
        <f t="shared" si="0"/>
        <v>600</v>
      </c>
      <c r="E10" s="250">
        <v>7</v>
      </c>
      <c r="F10" s="116">
        <f t="shared" si="1"/>
        <v>350</v>
      </c>
      <c r="G10" s="116">
        <f t="shared" si="2"/>
        <v>4200</v>
      </c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</row>
    <row r="11" spans="1:27" s="113" customFormat="1" x14ac:dyDescent="0.25">
      <c r="A11" s="45" t="s">
        <v>1120</v>
      </c>
      <c r="B11" s="114" t="s">
        <v>1104</v>
      </c>
      <c r="C11" s="120">
        <v>1000</v>
      </c>
      <c r="D11" s="336">
        <f t="shared" si="0"/>
        <v>12000</v>
      </c>
      <c r="E11" s="250">
        <v>5.13</v>
      </c>
      <c r="F11" s="116">
        <f t="shared" si="1"/>
        <v>5130</v>
      </c>
      <c r="G11" s="116">
        <f t="shared" si="2"/>
        <v>61560</v>
      </c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</row>
    <row r="12" spans="1:27" s="113" customFormat="1" x14ac:dyDescent="0.25">
      <c r="A12" s="45" t="s">
        <v>1118</v>
      </c>
      <c r="B12" s="114" t="s">
        <v>1104</v>
      </c>
      <c r="C12" s="120">
        <v>400</v>
      </c>
      <c r="D12" s="336">
        <f t="shared" si="0"/>
        <v>4800</v>
      </c>
      <c r="E12" s="250">
        <f>12.36/5</f>
        <v>2.472</v>
      </c>
      <c r="F12" s="116">
        <f t="shared" si="1"/>
        <v>988.8</v>
      </c>
      <c r="G12" s="116">
        <f t="shared" si="2"/>
        <v>11865.599999999999</v>
      </c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</row>
    <row r="13" spans="1:27" s="113" customFormat="1" x14ac:dyDescent="0.25">
      <c r="A13" s="45" t="s">
        <v>1121</v>
      </c>
      <c r="B13" s="114" t="s">
        <v>55</v>
      </c>
      <c r="C13" s="120">
        <v>100</v>
      </c>
      <c r="D13" s="336">
        <f t="shared" si="0"/>
        <v>1200</v>
      </c>
      <c r="E13" s="250">
        <v>4.51</v>
      </c>
      <c r="F13" s="116">
        <f t="shared" si="1"/>
        <v>451</v>
      </c>
      <c r="G13" s="116">
        <f t="shared" si="2"/>
        <v>5412</v>
      </c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</row>
    <row r="14" spans="1:27" s="113" customFormat="1" x14ac:dyDescent="0.25">
      <c r="A14" s="45" t="s">
        <v>1119</v>
      </c>
      <c r="B14" s="114" t="s">
        <v>1104</v>
      </c>
      <c r="C14" s="120">
        <v>650</v>
      </c>
      <c r="D14" s="336">
        <f t="shared" si="0"/>
        <v>7800</v>
      </c>
      <c r="E14" s="250">
        <v>5.9</v>
      </c>
      <c r="F14" s="116">
        <f t="shared" si="1"/>
        <v>3835.0000000000005</v>
      </c>
      <c r="G14" s="116">
        <f t="shared" si="2"/>
        <v>46020.000000000007</v>
      </c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</row>
    <row r="15" spans="1:27" s="113" customFormat="1" x14ac:dyDescent="0.25">
      <c r="A15" s="45" t="s">
        <v>1112</v>
      </c>
      <c r="B15" s="114" t="s">
        <v>1113</v>
      </c>
      <c r="C15" s="120">
        <v>50</v>
      </c>
      <c r="D15" s="336">
        <f t="shared" si="0"/>
        <v>600</v>
      </c>
      <c r="E15" s="250">
        <v>4.5</v>
      </c>
      <c r="F15" s="116">
        <f t="shared" si="1"/>
        <v>225</v>
      </c>
      <c r="G15" s="116">
        <f t="shared" si="2"/>
        <v>2700</v>
      </c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</row>
    <row r="16" spans="1:27" s="113" customFormat="1" x14ac:dyDescent="0.25">
      <c r="A16" s="45" t="s">
        <v>1114</v>
      </c>
      <c r="B16" s="114" t="s">
        <v>55</v>
      </c>
      <c r="C16" s="120">
        <v>250</v>
      </c>
      <c r="D16" s="336">
        <f t="shared" si="0"/>
        <v>3000</v>
      </c>
      <c r="E16" s="250">
        <v>1.04</v>
      </c>
      <c r="F16" s="116">
        <f t="shared" si="1"/>
        <v>260</v>
      </c>
      <c r="G16" s="116">
        <f t="shared" si="2"/>
        <v>3120</v>
      </c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</row>
    <row r="17" spans="1:27" s="113" customFormat="1" x14ac:dyDescent="0.25">
      <c r="A17" s="45" t="s">
        <v>1115</v>
      </c>
      <c r="B17" s="114" t="s">
        <v>55</v>
      </c>
      <c r="C17" s="120">
        <v>375</v>
      </c>
      <c r="D17" s="336">
        <f t="shared" si="0"/>
        <v>4500</v>
      </c>
      <c r="E17" s="250">
        <v>3.19</v>
      </c>
      <c r="F17" s="116">
        <f t="shared" si="1"/>
        <v>1196.25</v>
      </c>
      <c r="G17" s="116">
        <f t="shared" si="2"/>
        <v>14355</v>
      </c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</row>
    <row r="18" spans="1:27" s="113" customFormat="1" x14ac:dyDescent="0.25">
      <c r="A18" s="45" t="s">
        <v>1229</v>
      </c>
      <c r="B18" s="114" t="s">
        <v>55</v>
      </c>
      <c r="C18" s="120">
        <v>200</v>
      </c>
      <c r="D18" s="336">
        <f t="shared" si="0"/>
        <v>2400</v>
      </c>
      <c r="E18" s="250">
        <v>0.55000000000000004</v>
      </c>
      <c r="F18" s="116">
        <f t="shared" si="1"/>
        <v>110.00000000000001</v>
      </c>
      <c r="G18" s="116">
        <f t="shared" si="2"/>
        <v>1320.0000000000002</v>
      </c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</row>
    <row r="19" spans="1:27" s="113" customFormat="1" x14ac:dyDescent="0.25">
      <c r="A19" s="45" t="s">
        <v>1230</v>
      </c>
      <c r="B19" s="114" t="s">
        <v>55</v>
      </c>
      <c r="C19" s="120">
        <v>5000</v>
      </c>
      <c r="D19" s="336">
        <f t="shared" si="0"/>
        <v>60000</v>
      </c>
      <c r="E19" s="250">
        <v>0.26</v>
      </c>
      <c r="F19" s="116">
        <f t="shared" si="1"/>
        <v>1300</v>
      </c>
      <c r="G19" s="116">
        <f t="shared" si="2"/>
        <v>15600</v>
      </c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</row>
    <row r="20" spans="1:27" s="113" customFormat="1" x14ac:dyDescent="0.25">
      <c r="A20" s="45" t="s">
        <v>1231</v>
      </c>
      <c r="B20" s="114" t="s">
        <v>55</v>
      </c>
      <c r="C20" s="120">
        <v>2000</v>
      </c>
      <c r="D20" s="336">
        <f t="shared" si="0"/>
        <v>24000</v>
      </c>
      <c r="E20" s="250">
        <v>0.16</v>
      </c>
      <c r="F20" s="116">
        <f t="shared" si="1"/>
        <v>320</v>
      </c>
      <c r="G20" s="116">
        <f t="shared" si="2"/>
        <v>3840</v>
      </c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</row>
    <row r="21" spans="1:27" s="113" customFormat="1" x14ac:dyDescent="0.25">
      <c r="A21" s="45" t="s">
        <v>1232</v>
      </c>
      <c r="B21" s="114" t="s">
        <v>55</v>
      </c>
      <c r="C21" s="120">
        <v>3000</v>
      </c>
      <c r="D21" s="336">
        <f t="shared" si="0"/>
        <v>36000</v>
      </c>
      <c r="E21" s="250">
        <v>0.12</v>
      </c>
      <c r="F21" s="116">
        <f t="shared" si="1"/>
        <v>360</v>
      </c>
      <c r="G21" s="116">
        <f t="shared" si="2"/>
        <v>4320</v>
      </c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</row>
    <row r="22" spans="1:27" s="113" customFormat="1" x14ac:dyDescent="0.25">
      <c r="A22" s="363" t="s">
        <v>1185</v>
      </c>
      <c r="B22" s="114" t="s">
        <v>55</v>
      </c>
      <c r="C22" s="120">
        <v>100</v>
      </c>
      <c r="D22" s="336">
        <f>C22*12</f>
        <v>1200</v>
      </c>
      <c r="E22" s="250">
        <v>0.74</v>
      </c>
      <c r="F22" s="116">
        <f>E22*C22</f>
        <v>74</v>
      </c>
      <c r="G22" s="355">
        <f>F22*12</f>
        <v>888</v>
      </c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</row>
    <row r="23" spans="1:27" s="113" customFormat="1" x14ac:dyDescent="0.25">
      <c r="A23" s="351" t="s">
        <v>127</v>
      </c>
      <c r="B23" s="337"/>
      <c r="C23" s="337"/>
      <c r="D23" s="340"/>
      <c r="E23" s="340"/>
      <c r="F23" s="338">
        <f>SUBTOTAL(109,tbPRODUTOSL[VL. MENSAL])</f>
        <v>54783.55</v>
      </c>
      <c r="G23" s="338">
        <f>SUBTOTAL(109,tbPRODUTOSL[VL. ANUAL])</f>
        <v>657402.6</v>
      </c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</row>
    <row r="24" spans="1:27" s="113" customFormat="1" x14ac:dyDescent="0.25">
      <c r="A24" s="125"/>
      <c r="B24" s="117"/>
      <c r="C24" s="117"/>
      <c r="D24" s="335"/>
      <c r="E24" s="335"/>
      <c r="F24" s="124"/>
      <c r="G24" s="124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</row>
    <row r="25" spans="1:27" s="339" customFormat="1" ht="15.75" x14ac:dyDescent="0.25">
      <c r="A25" s="606" t="s">
        <v>1225</v>
      </c>
      <c r="B25" s="607"/>
      <c r="C25" s="607"/>
      <c r="D25" s="607"/>
      <c r="E25" s="608"/>
      <c r="F25" s="609" t="s">
        <v>912</v>
      </c>
      <c r="G25" s="609"/>
      <c r="H25" s="609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</row>
    <row r="26" spans="1:27" s="339" customFormat="1" x14ac:dyDescent="0.25">
      <c r="A26" s="346" t="s">
        <v>908</v>
      </c>
      <c r="B26" s="346" t="s">
        <v>55</v>
      </c>
      <c r="C26" s="347" t="s">
        <v>1105</v>
      </c>
      <c r="D26" s="347" t="s">
        <v>1122</v>
      </c>
      <c r="E26" s="347" t="s">
        <v>1106</v>
      </c>
      <c r="F26" s="347" t="s">
        <v>909</v>
      </c>
      <c r="G26" s="348" t="s">
        <v>913</v>
      </c>
      <c r="H26" s="348" t="s">
        <v>910</v>
      </c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</row>
    <row r="27" spans="1:27" s="339" customFormat="1" x14ac:dyDescent="0.25">
      <c r="A27" s="45" t="s">
        <v>1123</v>
      </c>
      <c r="B27" s="114" t="s">
        <v>55</v>
      </c>
      <c r="C27" s="341">
        <v>500</v>
      </c>
      <c r="D27" s="342">
        <v>6</v>
      </c>
      <c r="E27" s="342">
        <f>tbMATERIAISL[[#This Row],[QUANTIDADE MENSAL]]*12/tbMATERIAISL[[#This Row],[VIDA ÚTIL (MESES)]]</f>
        <v>1000</v>
      </c>
      <c r="F27" s="342">
        <v>31.73</v>
      </c>
      <c r="G27" s="341">
        <f>tbMATERIAISL[[#This Row],[VL. ANUAL]]/12</f>
        <v>2644.1666666666665</v>
      </c>
      <c r="H27" s="341">
        <f>tbMATERIAISL[[#This Row],[VL. UNITÁRIO]]*tbMATERIAISL[[#This Row],[QUANTIDADE ANUAL]]</f>
        <v>31730</v>
      </c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</row>
    <row r="28" spans="1:27" s="339" customFormat="1" x14ac:dyDescent="0.25">
      <c r="A28" s="45" t="s">
        <v>1125</v>
      </c>
      <c r="B28" s="114" t="s">
        <v>55</v>
      </c>
      <c r="C28" s="341">
        <v>200</v>
      </c>
      <c r="D28" s="342">
        <v>6</v>
      </c>
      <c r="E28" s="342">
        <f>tbMATERIAISL[[#This Row],[QUANTIDADE MENSAL]]*12/tbMATERIAISL[[#This Row],[VIDA ÚTIL (MESES)]]</f>
        <v>400</v>
      </c>
      <c r="F28" s="342">
        <v>10.82</v>
      </c>
      <c r="G28" s="341">
        <f>tbMATERIAISL[[#This Row],[VL. ANUAL]]/12</f>
        <v>360.66666666666669</v>
      </c>
      <c r="H28" s="341">
        <f>tbMATERIAISL[[#This Row],[VL. UNITÁRIO]]*tbMATERIAISL[[#This Row],[QUANTIDADE ANUAL]]</f>
        <v>4328</v>
      </c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</row>
    <row r="29" spans="1:27" s="339" customFormat="1" x14ac:dyDescent="0.25">
      <c r="A29" s="45" t="s">
        <v>1126</v>
      </c>
      <c r="B29" s="114" t="s">
        <v>55</v>
      </c>
      <c r="C29" s="341">
        <v>200</v>
      </c>
      <c r="D29" s="342">
        <v>6</v>
      </c>
      <c r="E29" s="342">
        <f>tbMATERIAISL[[#This Row],[QUANTIDADE MENSAL]]*12/tbMATERIAISL[[#This Row],[VIDA ÚTIL (MESES)]]</f>
        <v>400</v>
      </c>
      <c r="F29" s="342">
        <v>20.13</v>
      </c>
      <c r="G29" s="341">
        <f>tbMATERIAISL[[#This Row],[VL. ANUAL]]/12</f>
        <v>671</v>
      </c>
      <c r="H29" s="341">
        <f>tbMATERIAISL[[#This Row],[VL. UNITÁRIO]]*tbMATERIAISL[[#This Row],[QUANTIDADE ANUAL]]</f>
        <v>8052</v>
      </c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</row>
    <row r="30" spans="1:27" s="339" customFormat="1" x14ac:dyDescent="0.25">
      <c r="A30" s="45" t="s">
        <v>1127</v>
      </c>
      <c r="B30" s="114" t="s">
        <v>55</v>
      </c>
      <c r="C30" s="341">
        <v>200</v>
      </c>
      <c r="D30" s="342">
        <v>6</v>
      </c>
      <c r="E30" s="342">
        <f>tbMATERIAISL[[#This Row],[QUANTIDADE MENSAL]]*12/tbMATERIAISL[[#This Row],[VIDA ÚTIL (MESES)]]</f>
        <v>400</v>
      </c>
      <c r="F30" s="342">
        <v>16.239999999999998</v>
      </c>
      <c r="G30" s="341">
        <f>tbMATERIAISL[[#This Row],[VL. ANUAL]]/12</f>
        <v>541.33333333333326</v>
      </c>
      <c r="H30" s="341">
        <f>tbMATERIAISL[[#This Row],[VL. UNITÁRIO]]*tbMATERIAISL[[#This Row],[QUANTIDADE ANUAL]]</f>
        <v>6495.9999999999991</v>
      </c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</row>
    <row r="31" spans="1:27" s="339" customFormat="1" x14ac:dyDescent="0.25">
      <c r="A31" s="45" t="s">
        <v>1124</v>
      </c>
      <c r="B31" s="114" t="s">
        <v>55</v>
      </c>
      <c r="C31" s="341">
        <v>200</v>
      </c>
      <c r="D31" s="342">
        <v>6</v>
      </c>
      <c r="E31" s="342">
        <f>tbMATERIAISL[[#This Row],[QUANTIDADE MENSAL]]*12/tbMATERIAISL[[#This Row],[VIDA ÚTIL (MESES)]]</f>
        <v>400</v>
      </c>
      <c r="F31" s="342">
        <v>73</v>
      </c>
      <c r="G31" s="341">
        <f>tbMATERIAISL[[#This Row],[VL. ANUAL]]/12</f>
        <v>2433.3333333333335</v>
      </c>
      <c r="H31" s="341">
        <f>tbMATERIAISL[[#This Row],[VL. UNITÁRIO]]*tbMATERIAISL[[#This Row],[QUANTIDADE ANUAL]]</f>
        <v>29200</v>
      </c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</row>
    <row r="32" spans="1:27" s="339" customFormat="1" x14ac:dyDescent="0.25">
      <c r="A32" s="45" t="s">
        <v>1223</v>
      </c>
      <c r="B32" s="114" t="s">
        <v>55</v>
      </c>
      <c r="C32" s="341">
        <v>40</v>
      </c>
      <c r="D32" s="342">
        <v>6</v>
      </c>
      <c r="E32" s="342">
        <f>tbMATERIAISL[[#This Row],[QUANTIDADE MENSAL]]*12/tbMATERIAISL[[#This Row],[VIDA ÚTIL (MESES)]]</f>
        <v>80</v>
      </c>
      <c r="F32" s="342">
        <v>52.02</v>
      </c>
      <c r="G32" s="341">
        <f>tbMATERIAISL[[#This Row],[VL. ANUAL]]/12</f>
        <v>346.8</v>
      </c>
      <c r="H32" s="341">
        <f>tbMATERIAISL[[#This Row],[VL. UNITÁRIO]]*tbMATERIAISL[[#This Row],[QUANTIDADE ANUAL]]</f>
        <v>4161.6000000000004</v>
      </c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</row>
    <row r="33" spans="1:27" s="339" customFormat="1" x14ac:dyDescent="0.25">
      <c r="A33" s="45" t="s">
        <v>1128</v>
      </c>
      <c r="B33" s="114" t="s">
        <v>55</v>
      </c>
      <c r="C33" s="341">
        <v>40</v>
      </c>
      <c r="D33" s="342">
        <v>12</v>
      </c>
      <c r="E33" s="342">
        <f>tbMATERIAISL[[#This Row],[QUANTIDADE MENSAL]]*12/tbMATERIAISL[[#This Row],[VIDA ÚTIL (MESES)]]</f>
        <v>40</v>
      </c>
      <c r="F33" s="342">
        <v>152.88999999999999</v>
      </c>
      <c r="G33" s="341">
        <f>tbMATERIAISL[[#This Row],[VL. ANUAL]]/12</f>
        <v>509.63333333333327</v>
      </c>
      <c r="H33" s="341">
        <f>tbMATERIAISL[[#This Row],[VL. UNITÁRIO]]*tbMATERIAISL[[#This Row],[QUANTIDADE ANUAL]]</f>
        <v>6115.5999999999995</v>
      </c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</row>
    <row r="34" spans="1:27" s="339" customFormat="1" x14ac:dyDescent="0.25">
      <c r="A34" s="45" t="s">
        <v>1137</v>
      </c>
      <c r="B34" s="114" t="s">
        <v>55</v>
      </c>
      <c r="C34" s="341">
        <v>300</v>
      </c>
      <c r="D34" s="342">
        <v>6</v>
      </c>
      <c r="E34" s="342">
        <f>tbMATERIAISL[[#This Row],[QUANTIDADE MENSAL]]*12/tbMATERIAISL[[#This Row],[VIDA ÚTIL (MESES)]]</f>
        <v>600</v>
      </c>
      <c r="F34" s="342">
        <v>21.87</v>
      </c>
      <c r="G34" s="341">
        <f>tbMATERIAISL[[#This Row],[VL. ANUAL]]/12</f>
        <v>1093.5</v>
      </c>
      <c r="H34" s="341">
        <f>tbMATERIAISL[[#This Row],[VL. UNITÁRIO]]*tbMATERIAISL[[#This Row],[QUANTIDADE ANUAL]]</f>
        <v>13122</v>
      </c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</row>
    <row r="35" spans="1:27" s="339" customFormat="1" x14ac:dyDescent="0.25">
      <c r="A35" s="45" t="s">
        <v>1138</v>
      </c>
      <c r="B35" s="114" t="s">
        <v>55</v>
      </c>
      <c r="C35" s="341">
        <v>300</v>
      </c>
      <c r="D35" s="342">
        <v>6</v>
      </c>
      <c r="E35" s="342">
        <f>tbMATERIAISL[[#This Row],[QUANTIDADE MENSAL]]*12/tbMATERIAISL[[#This Row],[VIDA ÚTIL (MESES)]]</f>
        <v>600</v>
      </c>
      <c r="F35" s="342">
        <v>32.4</v>
      </c>
      <c r="G35" s="341">
        <f>tbMATERIAISL[[#This Row],[VL. ANUAL]]/12</f>
        <v>1620</v>
      </c>
      <c r="H35" s="341">
        <f>tbMATERIAISL[[#This Row],[VL. UNITÁRIO]]*tbMATERIAISL[[#This Row],[QUANTIDADE ANUAL]]</f>
        <v>19440</v>
      </c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</row>
    <row r="36" spans="1:27" s="339" customFormat="1" x14ac:dyDescent="0.25">
      <c r="A36" s="45" t="s">
        <v>1139</v>
      </c>
      <c r="B36" s="114" t="s">
        <v>55</v>
      </c>
      <c r="C36" s="341">
        <v>200</v>
      </c>
      <c r="D36" s="342">
        <v>6</v>
      </c>
      <c r="E36" s="342">
        <f>tbMATERIAISL[[#This Row],[QUANTIDADE MENSAL]]*12/tbMATERIAISL[[#This Row],[VIDA ÚTIL (MESES)]]</f>
        <v>400</v>
      </c>
      <c r="F36" s="342">
        <v>36.6</v>
      </c>
      <c r="G36" s="341">
        <f>tbMATERIAISL[[#This Row],[VL. ANUAL]]/12</f>
        <v>1220</v>
      </c>
      <c r="H36" s="341">
        <f>tbMATERIAISL[[#This Row],[VL. UNITÁRIO]]*tbMATERIAISL[[#This Row],[QUANTIDADE ANUAL]]</f>
        <v>14640</v>
      </c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</row>
    <row r="37" spans="1:27" s="339" customFormat="1" x14ac:dyDescent="0.25">
      <c r="A37" s="45" t="s">
        <v>1140</v>
      </c>
      <c r="B37" s="114" t="s">
        <v>55</v>
      </c>
      <c r="C37" s="341">
        <v>100</v>
      </c>
      <c r="D37" s="342">
        <v>6</v>
      </c>
      <c r="E37" s="342">
        <f>tbMATERIAISL[[#This Row],[QUANTIDADE MENSAL]]*12/tbMATERIAISL[[#This Row],[VIDA ÚTIL (MESES)]]</f>
        <v>200</v>
      </c>
      <c r="F37" s="342">
        <v>41.51</v>
      </c>
      <c r="G37" s="341">
        <f>tbMATERIAISL[[#This Row],[VL. ANUAL]]/12</f>
        <v>691.83333333333337</v>
      </c>
      <c r="H37" s="341">
        <f>tbMATERIAISL[[#This Row],[VL. UNITÁRIO]]*tbMATERIAISL[[#This Row],[QUANTIDADE ANUAL]]</f>
        <v>8302</v>
      </c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</row>
    <row r="38" spans="1:27" s="339" customFormat="1" x14ac:dyDescent="0.25">
      <c r="A38" s="45" t="s">
        <v>1141</v>
      </c>
      <c r="B38" s="114" t="s">
        <v>55</v>
      </c>
      <c r="C38" s="341">
        <v>500</v>
      </c>
      <c r="D38" s="342">
        <v>6</v>
      </c>
      <c r="E38" s="342">
        <f>tbMATERIAISL[[#This Row],[QUANTIDADE MENSAL]]*12/tbMATERIAISL[[#This Row],[VIDA ÚTIL (MESES)]]</f>
        <v>1000</v>
      </c>
      <c r="F38" s="342">
        <v>15.26</v>
      </c>
      <c r="G38" s="341">
        <f>tbMATERIAISL[[#This Row],[VL. ANUAL]]/12</f>
        <v>1271.6666666666667</v>
      </c>
      <c r="H38" s="341">
        <f>tbMATERIAISL[[#This Row],[VL. UNITÁRIO]]*tbMATERIAISL[[#This Row],[QUANTIDADE ANUAL]]</f>
        <v>15260</v>
      </c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</row>
    <row r="39" spans="1:27" s="339" customFormat="1" x14ac:dyDescent="0.25">
      <c r="A39" s="45" t="s">
        <v>1129</v>
      </c>
      <c r="B39" s="114" t="s">
        <v>55</v>
      </c>
      <c r="C39" s="341">
        <v>400</v>
      </c>
      <c r="D39" s="342">
        <v>6</v>
      </c>
      <c r="E39" s="342">
        <f>tbMATERIAISL[[#This Row],[QUANTIDADE MENSAL]]*12/tbMATERIAISL[[#This Row],[VIDA ÚTIL (MESES)]]</f>
        <v>800</v>
      </c>
      <c r="F39" s="342">
        <v>68.48</v>
      </c>
      <c r="G39" s="341">
        <f>tbMATERIAISL[[#This Row],[VL. ANUAL]]/12</f>
        <v>4565.333333333333</v>
      </c>
      <c r="H39" s="341">
        <f>tbMATERIAISL[[#This Row],[VL. UNITÁRIO]]*tbMATERIAISL[[#This Row],[QUANTIDADE ANUAL]]</f>
        <v>54784</v>
      </c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</row>
    <row r="40" spans="1:27" s="339" customFormat="1" x14ac:dyDescent="0.25">
      <c r="A40" s="45" t="s">
        <v>1130</v>
      </c>
      <c r="B40" s="114" t="s">
        <v>55</v>
      </c>
      <c r="C40" s="341">
        <v>400</v>
      </c>
      <c r="D40" s="342">
        <v>1</v>
      </c>
      <c r="E40" s="342">
        <f>tbMATERIAISL[[#This Row],[QUANTIDADE MENSAL]]*12/tbMATERIAISL[[#This Row],[VIDA ÚTIL (MESES)]]</f>
        <v>4800</v>
      </c>
      <c r="F40" s="342">
        <v>18.7</v>
      </c>
      <c r="G40" s="341">
        <f>tbMATERIAISL[[#This Row],[VL. ANUAL]]/12</f>
        <v>7480</v>
      </c>
      <c r="H40" s="341">
        <f>tbMATERIAISL[[#This Row],[VL. UNITÁRIO]]*tbMATERIAISL[[#This Row],[QUANTIDADE ANUAL]]</f>
        <v>89760</v>
      </c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</row>
    <row r="41" spans="1:27" s="339" customFormat="1" x14ac:dyDescent="0.25">
      <c r="A41" s="45" t="s">
        <v>1131</v>
      </c>
      <c r="B41" s="114" t="s">
        <v>55</v>
      </c>
      <c r="C41" s="341">
        <v>400</v>
      </c>
      <c r="D41" s="342">
        <v>6</v>
      </c>
      <c r="E41" s="342">
        <f>tbMATERIAISL[[#This Row],[QUANTIDADE MENSAL]]*12/tbMATERIAISL[[#This Row],[VIDA ÚTIL (MESES)]]</f>
        <v>800</v>
      </c>
      <c r="F41" s="342">
        <v>9.9</v>
      </c>
      <c r="G41" s="341">
        <f>tbMATERIAISL[[#This Row],[VL. ANUAL]]/12</f>
        <v>660</v>
      </c>
      <c r="H41" s="341">
        <f>tbMATERIAISL[[#This Row],[VL. UNITÁRIO]]*tbMATERIAISL[[#This Row],[QUANTIDADE ANUAL]]</f>
        <v>7920</v>
      </c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</row>
    <row r="42" spans="1:27" s="339" customFormat="1" x14ac:dyDescent="0.25">
      <c r="A42" s="45" t="s">
        <v>1132</v>
      </c>
      <c r="B42" s="114" t="s">
        <v>55</v>
      </c>
      <c r="C42" s="341">
        <v>400</v>
      </c>
      <c r="D42" s="342">
        <v>6</v>
      </c>
      <c r="E42" s="342">
        <f>tbMATERIAISL[[#This Row],[QUANTIDADE MENSAL]]*12/tbMATERIAISL[[#This Row],[VIDA ÚTIL (MESES)]]</f>
        <v>800</v>
      </c>
      <c r="F42" s="342">
        <v>12.7</v>
      </c>
      <c r="G42" s="341">
        <f>tbMATERIAISL[[#This Row],[VL. ANUAL]]/12</f>
        <v>846.66666666666663</v>
      </c>
      <c r="H42" s="341">
        <f>tbMATERIAISL[[#This Row],[VL. UNITÁRIO]]*tbMATERIAISL[[#This Row],[QUANTIDADE ANUAL]]</f>
        <v>10160</v>
      </c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</row>
    <row r="43" spans="1:27" s="339" customFormat="1" x14ac:dyDescent="0.25">
      <c r="A43" s="45" t="s">
        <v>1133</v>
      </c>
      <c r="B43" s="114" t="s">
        <v>55</v>
      </c>
      <c r="C43" s="341">
        <v>400</v>
      </c>
      <c r="D43" s="342">
        <v>6</v>
      </c>
      <c r="E43" s="342">
        <f>tbMATERIAISL[[#This Row],[QUANTIDADE MENSAL]]*12/tbMATERIAISL[[#This Row],[VIDA ÚTIL (MESES)]]</f>
        <v>800</v>
      </c>
      <c r="F43" s="342">
        <v>15</v>
      </c>
      <c r="G43" s="341">
        <f>tbMATERIAISL[[#This Row],[VL. ANUAL]]/12</f>
        <v>1000</v>
      </c>
      <c r="H43" s="341">
        <f>tbMATERIAISL[[#This Row],[VL. UNITÁRIO]]*tbMATERIAISL[[#This Row],[QUANTIDADE ANUAL]]</f>
        <v>12000</v>
      </c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</row>
    <row r="44" spans="1:27" s="339" customFormat="1" x14ac:dyDescent="0.25">
      <c r="A44" s="45" t="s">
        <v>1158</v>
      </c>
      <c r="B44" s="114" t="s">
        <v>55</v>
      </c>
      <c r="C44" s="341">
        <v>100</v>
      </c>
      <c r="D44" s="342">
        <v>12</v>
      </c>
      <c r="E44" s="342">
        <f>tbMATERIAISL[[#This Row],[QUANTIDADE MENSAL]]*12/tbMATERIAISL[[#This Row],[VIDA ÚTIL (MESES)]]</f>
        <v>100</v>
      </c>
      <c r="F44" s="342">
        <v>137.47</v>
      </c>
      <c r="G44" s="341">
        <f>tbMATERIAISL[[#This Row],[VL. ANUAL]]/12</f>
        <v>1145.5833333333333</v>
      </c>
      <c r="H44" s="341">
        <f>tbMATERIAISL[[#This Row],[VL. UNITÁRIO]]*tbMATERIAISL[[#This Row],[QUANTIDADE ANUAL]]</f>
        <v>13747</v>
      </c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</row>
    <row r="45" spans="1:27" s="339" customFormat="1" x14ac:dyDescent="0.25">
      <c r="A45" s="45" t="s">
        <v>1136</v>
      </c>
      <c r="B45" s="114" t="s">
        <v>55</v>
      </c>
      <c r="C45" s="341">
        <v>300</v>
      </c>
      <c r="D45" s="342">
        <v>6</v>
      </c>
      <c r="E45" s="342">
        <f>tbMATERIAISL[[#This Row],[QUANTIDADE MENSAL]]*12/tbMATERIAISL[[#This Row],[VIDA ÚTIL (MESES)]]</f>
        <v>600</v>
      </c>
      <c r="F45" s="342">
        <v>8.6999999999999993</v>
      </c>
      <c r="G45" s="341">
        <f>tbMATERIAISL[[#This Row],[VL. ANUAL]]/12</f>
        <v>435</v>
      </c>
      <c r="H45" s="341">
        <f>tbMATERIAISL[[#This Row],[VL. UNITÁRIO]]*tbMATERIAISL[[#This Row],[QUANTIDADE ANUAL]]</f>
        <v>5220</v>
      </c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</row>
    <row r="46" spans="1:27" s="339" customFormat="1" x14ac:dyDescent="0.25">
      <c r="A46" s="45" t="s">
        <v>1134</v>
      </c>
      <c r="B46" s="114" t="s">
        <v>55</v>
      </c>
      <c r="C46" s="341">
        <v>300</v>
      </c>
      <c r="D46" s="342">
        <v>12</v>
      </c>
      <c r="E46" s="342">
        <f>tbMATERIAISL[[#This Row],[QUANTIDADE MENSAL]]*12/tbMATERIAISL[[#This Row],[VIDA ÚTIL (MESES)]]</f>
        <v>300</v>
      </c>
      <c r="F46" s="342">
        <v>7.31</v>
      </c>
      <c r="G46" s="341">
        <f>tbMATERIAISL[[#This Row],[VL. ANUAL]]/12</f>
        <v>182.75</v>
      </c>
      <c r="H46" s="341">
        <f>tbMATERIAISL[[#This Row],[VL. UNITÁRIO]]*tbMATERIAISL[[#This Row],[QUANTIDADE ANUAL]]</f>
        <v>2193</v>
      </c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7"/>
      <c r="AA46" s="117"/>
    </row>
    <row r="47" spans="1:27" s="339" customFormat="1" x14ac:dyDescent="0.25">
      <c r="A47" s="45" t="s">
        <v>1135</v>
      </c>
      <c r="B47" s="114" t="s">
        <v>55</v>
      </c>
      <c r="C47" s="341">
        <v>300</v>
      </c>
      <c r="D47" s="342">
        <v>12</v>
      </c>
      <c r="E47" s="342">
        <f>tbMATERIAISL[[#This Row],[QUANTIDADE MENSAL]]*12/tbMATERIAISL[[#This Row],[VIDA ÚTIL (MESES)]]</f>
        <v>300</v>
      </c>
      <c r="F47" s="342">
        <v>4.8499999999999996</v>
      </c>
      <c r="G47" s="341">
        <f>tbMATERIAISL[[#This Row],[VL. ANUAL]]/12</f>
        <v>121.25</v>
      </c>
      <c r="H47" s="341">
        <f>tbMATERIAISL[[#This Row],[VL. UNITÁRIO]]*tbMATERIAISL[[#This Row],[QUANTIDADE ANUAL]]</f>
        <v>1455</v>
      </c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  <c r="AA47" s="117"/>
    </row>
    <row r="48" spans="1:27" s="339" customFormat="1" x14ac:dyDescent="0.25">
      <c r="A48" s="45" t="s">
        <v>1142</v>
      </c>
      <c r="B48" s="114" t="s">
        <v>55</v>
      </c>
      <c r="C48" s="341">
        <v>50</v>
      </c>
      <c r="D48" s="342">
        <v>12</v>
      </c>
      <c r="E48" s="342">
        <f>tbMATERIAISL[[#This Row],[QUANTIDADE MENSAL]]*12/tbMATERIAISL[[#This Row],[VIDA ÚTIL (MESES)]]</f>
        <v>50</v>
      </c>
      <c r="F48" s="342">
        <v>183.84</v>
      </c>
      <c r="G48" s="341">
        <f>tbMATERIAISL[[#This Row],[VL. ANUAL]]/12</f>
        <v>766</v>
      </c>
      <c r="H48" s="341">
        <f>tbMATERIAISL[[#This Row],[VL. UNITÁRIO]]*tbMATERIAISL[[#This Row],[QUANTIDADE ANUAL]]</f>
        <v>9192</v>
      </c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</row>
    <row r="49" spans="1:27" s="339" customFormat="1" x14ac:dyDescent="0.25">
      <c r="A49" s="45" t="s">
        <v>1143</v>
      </c>
      <c r="B49" s="114" t="s">
        <v>55</v>
      </c>
      <c r="C49" s="341">
        <v>50</v>
      </c>
      <c r="D49" s="342">
        <v>12</v>
      </c>
      <c r="E49" s="342">
        <f>tbMATERIAISL[[#This Row],[QUANTIDADE MENSAL]]*12/tbMATERIAISL[[#This Row],[VIDA ÚTIL (MESES)]]</f>
        <v>50</v>
      </c>
      <c r="F49" s="342">
        <v>138.24</v>
      </c>
      <c r="G49" s="341">
        <f>tbMATERIAISL[[#This Row],[VL. ANUAL]]/12</f>
        <v>576</v>
      </c>
      <c r="H49" s="341">
        <f>tbMATERIAISL[[#This Row],[VL. UNITÁRIO]]*tbMATERIAISL[[#This Row],[QUANTIDADE ANUAL]]</f>
        <v>6912</v>
      </c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</row>
    <row r="50" spans="1:27" s="339" customFormat="1" x14ac:dyDescent="0.25">
      <c r="A50" s="363" t="s">
        <v>1187</v>
      </c>
      <c r="B50" s="114" t="s">
        <v>55</v>
      </c>
      <c r="C50" s="341">
        <v>30</v>
      </c>
      <c r="D50" s="342">
        <v>3</v>
      </c>
      <c r="E50" s="342">
        <f>tbMATERIAISL[[#This Row],[QUANTIDADE MENSAL]]*12/tbMATERIAISL[[#This Row],[VIDA ÚTIL (MESES)]]</f>
        <v>120</v>
      </c>
      <c r="F50" s="342">
        <v>25.87</v>
      </c>
      <c r="G50" s="341">
        <f>tbMATERIAISL[[#This Row],[VL. ANUAL]]/12</f>
        <v>258.7</v>
      </c>
      <c r="H50" s="364">
        <f>tbMATERIAISL[[#This Row],[VL. UNITÁRIO]]*tbMATERIAISL[[#This Row],[QUANTIDADE ANUAL]]</f>
        <v>3104.4</v>
      </c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</row>
    <row r="51" spans="1:27" s="339" customFormat="1" x14ac:dyDescent="0.25">
      <c r="A51" s="363" t="s">
        <v>1186</v>
      </c>
      <c r="B51" s="114" t="s">
        <v>55</v>
      </c>
      <c r="C51" s="341">
        <v>10</v>
      </c>
      <c r="D51" s="342">
        <v>3</v>
      </c>
      <c r="E51" s="342">
        <f>tbMATERIAISL[[#This Row],[QUANTIDADE MENSAL]]*12/tbMATERIAISL[[#This Row],[VIDA ÚTIL (MESES)]]</f>
        <v>40</v>
      </c>
      <c r="F51" s="342">
        <v>13.5</v>
      </c>
      <c r="G51" s="341">
        <f>tbMATERIAISL[[#This Row],[VL. ANUAL]]/12</f>
        <v>45</v>
      </c>
      <c r="H51" s="364">
        <f>tbMATERIAISL[[#This Row],[VL. UNITÁRIO]]*tbMATERIAISL[[#This Row],[QUANTIDADE ANUAL]]</f>
        <v>540</v>
      </c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</row>
    <row r="52" spans="1:27" s="339" customFormat="1" x14ac:dyDescent="0.25">
      <c r="A52" s="363" t="s">
        <v>1188</v>
      </c>
      <c r="B52" s="114" t="s">
        <v>55</v>
      </c>
      <c r="C52" s="341">
        <v>30</v>
      </c>
      <c r="D52" s="342">
        <v>3</v>
      </c>
      <c r="E52" s="342">
        <f>tbMATERIAISL[[#This Row],[QUANTIDADE MENSAL]]*12/tbMATERIAISL[[#This Row],[VIDA ÚTIL (MESES)]]</f>
        <v>120</v>
      </c>
      <c r="F52" s="342">
        <v>23</v>
      </c>
      <c r="G52" s="341">
        <f>tbMATERIAISL[[#This Row],[VL. ANUAL]]/12</f>
        <v>230</v>
      </c>
      <c r="H52" s="364">
        <f>tbMATERIAISL[[#This Row],[VL. UNITÁRIO]]*tbMATERIAISL[[#This Row],[QUANTIDADE ANUAL]]</f>
        <v>2760</v>
      </c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</row>
    <row r="53" spans="1:27" s="339" customFormat="1" x14ac:dyDescent="0.25">
      <c r="A53" s="363" t="s">
        <v>1189</v>
      </c>
      <c r="B53" s="114" t="s">
        <v>55</v>
      </c>
      <c r="C53" s="341">
        <v>1000</v>
      </c>
      <c r="D53" s="342">
        <v>1</v>
      </c>
      <c r="E53" s="342">
        <f>tbMATERIAISL[[#This Row],[QUANTIDADE MENSAL]]*12/tbMATERIAISL[[#This Row],[VIDA ÚTIL (MESES)]]</f>
        <v>12000</v>
      </c>
      <c r="F53" s="342">
        <v>3.4</v>
      </c>
      <c r="G53" s="341">
        <f>tbMATERIAISL[[#This Row],[VL. ANUAL]]/12</f>
        <v>3400</v>
      </c>
      <c r="H53" s="364">
        <f>tbMATERIAISL[[#This Row],[VL. UNITÁRIO]]*tbMATERIAISL[[#This Row],[QUANTIDADE ANUAL]]</f>
        <v>40800</v>
      </c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</row>
    <row r="54" spans="1:27" s="339" customFormat="1" x14ac:dyDescent="0.25">
      <c r="A54" s="363" t="s">
        <v>1190</v>
      </c>
      <c r="B54" s="114" t="s">
        <v>55</v>
      </c>
      <c r="C54" s="341">
        <v>600</v>
      </c>
      <c r="D54" s="342">
        <v>1</v>
      </c>
      <c r="E54" s="342">
        <f>tbMATERIAISL[[#This Row],[QUANTIDADE MENSAL]]*12/tbMATERIAISL[[#This Row],[VIDA ÚTIL (MESES)]]</f>
        <v>7200</v>
      </c>
      <c r="F54" s="342">
        <v>3.4</v>
      </c>
      <c r="G54" s="341">
        <f>tbMATERIAISL[[#This Row],[VL. ANUAL]]/12</f>
        <v>2040</v>
      </c>
      <c r="H54" s="364">
        <f>tbMATERIAISL[[#This Row],[VL. UNITÁRIO]]*tbMATERIAISL[[#This Row],[QUANTIDADE ANUAL]]</f>
        <v>24480</v>
      </c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</row>
    <row r="55" spans="1:27" s="339" customFormat="1" x14ac:dyDescent="0.25">
      <c r="A55" s="45" t="s">
        <v>127</v>
      </c>
      <c r="B55" s="114"/>
      <c r="C55" s="114"/>
      <c r="D55" s="27"/>
      <c r="E55" s="27"/>
      <c r="F55" s="27"/>
      <c r="G55" s="116">
        <f>SUBTOTAL(109,tbMATERIAISL[VL. MENSAL])</f>
        <v>37156.216666666667</v>
      </c>
      <c r="H55" s="116">
        <f>SUBTOTAL(109,tbMATERIAISL[VL. ANUAL])</f>
        <v>445874.60000000003</v>
      </c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</row>
    <row r="56" spans="1:27" s="339" customFormat="1" x14ac:dyDescent="0.25">
      <c r="A56" s="125"/>
      <c r="B56" s="117"/>
      <c r="C56" s="123"/>
      <c r="D56" s="344"/>
      <c r="E56" s="345"/>
      <c r="F56" s="124"/>
      <c r="G56" s="124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</row>
    <row r="57" spans="1:27" s="339" customFormat="1" ht="15.75" x14ac:dyDescent="0.25">
      <c r="A57" s="606" t="s">
        <v>1224</v>
      </c>
      <c r="B57" s="607"/>
      <c r="C57" s="607"/>
      <c r="D57" s="607"/>
      <c r="E57" s="608"/>
      <c r="F57" s="609" t="s">
        <v>912</v>
      </c>
      <c r="G57" s="609"/>
      <c r="H57" s="609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</row>
    <row r="58" spans="1:27" s="113" customFormat="1" x14ac:dyDescent="0.25">
      <c r="A58" s="346" t="s">
        <v>908</v>
      </c>
      <c r="B58" s="346" t="s">
        <v>55</v>
      </c>
      <c r="C58" s="347" t="s">
        <v>1105</v>
      </c>
      <c r="D58" s="347" t="s">
        <v>1122</v>
      </c>
      <c r="E58" s="347" t="s">
        <v>1106</v>
      </c>
      <c r="F58" s="347" t="s">
        <v>909</v>
      </c>
      <c r="G58" s="348" t="s">
        <v>913</v>
      </c>
      <c r="H58" s="348" t="s">
        <v>910</v>
      </c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</row>
    <row r="59" spans="1:27" s="113" customFormat="1" x14ac:dyDescent="0.25">
      <c r="A59" s="45" t="s">
        <v>1157</v>
      </c>
      <c r="B59" s="114" t="s">
        <v>55</v>
      </c>
      <c r="C59" s="341">
        <v>1</v>
      </c>
      <c r="D59" s="342">
        <v>60</v>
      </c>
      <c r="E59" s="342">
        <f>tbEQUIPAMENTOSL[[#This Row],[QUANTIDADE MENSAL]]*12/tbEQUIPAMENTOSL[[#This Row],[VIDA ÚTIL (MESES)]]</f>
        <v>0.2</v>
      </c>
      <c r="F59" s="342">
        <v>291000</v>
      </c>
      <c r="G59" s="341">
        <f>tbEQUIPAMENTOSL[[#This Row],[VL. ANUAL]]/12</f>
        <v>4850</v>
      </c>
      <c r="H59" s="341">
        <f>tbEQUIPAMENTOSL[[#This Row],[QUANTIDADE ANUAL]]*tbEQUIPAMENTOSL[[#This Row],[VL. UNITÁRIO]]</f>
        <v>58200</v>
      </c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</row>
    <row r="60" spans="1:27" s="113" customFormat="1" x14ac:dyDescent="0.25">
      <c r="A60" s="45" t="s">
        <v>1144</v>
      </c>
      <c r="B60" s="114" t="s">
        <v>55</v>
      </c>
      <c r="C60" s="341">
        <v>1</v>
      </c>
      <c r="D60" s="342">
        <v>60</v>
      </c>
      <c r="E60" s="342">
        <f>tbEQUIPAMENTOSL[[#This Row],[QUANTIDADE MENSAL]]*12/tbEQUIPAMENTOSL[[#This Row],[VIDA ÚTIL (MESES)]]</f>
        <v>0.2</v>
      </c>
      <c r="F60" s="341">
        <v>204990</v>
      </c>
      <c r="G60" s="341">
        <f>tbEQUIPAMENTOSL[[#This Row],[VL. ANUAL]]/12</f>
        <v>3416.5</v>
      </c>
      <c r="H60" s="341">
        <f>tbEQUIPAMENTOSL[[#This Row],[QUANTIDADE ANUAL]]*tbEQUIPAMENTOSL[[#This Row],[VL. UNITÁRIO]]</f>
        <v>40998</v>
      </c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</row>
    <row r="61" spans="1:27" s="113" customFormat="1" x14ac:dyDescent="0.25">
      <c r="A61" s="45" t="s">
        <v>1145</v>
      </c>
      <c r="B61" s="114" t="s">
        <v>55</v>
      </c>
      <c r="C61" s="341">
        <v>2</v>
      </c>
      <c r="D61" s="342">
        <v>60</v>
      </c>
      <c r="E61" s="342">
        <f>tbEQUIPAMENTOSL[[#This Row],[QUANTIDADE MENSAL]]*12/tbEQUIPAMENTOSL[[#This Row],[VIDA ÚTIL (MESES)]]</f>
        <v>0.4</v>
      </c>
      <c r="F61" s="341">
        <v>15960</v>
      </c>
      <c r="G61" s="341">
        <f>tbEQUIPAMENTOSL[[#This Row],[VL. ANUAL]]/12</f>
        <v>532</v>
      </c>
      <c r="H61" s="341">
        <f>tbEQUIPAMENTOSL[[#This Row],[QUANTIDADE ANUAL]]*tbEQUIPAMENTOSL[[#This Row],[VL. UNITÁRIO]]</f>
        <v>6384</v>
      </c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</row>
    <row r="62" spans="1:27" s="113" customFormat="1" x14ac:dyDescent="0.25">
      <c r="A62" s="363" t="s">
        <v>1191</v>
      </c>
      <c r="B62" s="114" t="s">
        <v>55</v>
      </c>
      <c r="C62" s="341">
        <v>10</v>
      </c>
      <c r="D62" s="342">
        <v>60</v>
      </c>
      <c r="E62" s="342">
        <f>tbEQUIPAMENTOSL[[#This Row],[QUANTIDADE MENSAL]]*12/tbEQUIPAMENTOSL[[#This Row],[VIDA ÚTIL (MESES)]]</f>
        <v>2</v>
      </c>
      <c r="F62" s="341">
        <v>9946.7999999999993</v>
      </c>
      <c r="G62" s="341">
        <f>tbEQUIPAMENTOSL[[#This Row],[VL. ANUAL]]/12</f>
        <v>1657.8</v>
      </c>
      <c r="H62" s="364">
        <f>tbEQUIPAMENTOSL[[#This Row],[QUANTIDADE ANUAL]]*tbEQUIPAMENTOSL[[#This Row],[VL. UNITÁRIO]]</f>
        <v>19893.599999999999</v>
      </c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</row>
    <row r="63" spans="1:27" s="113" customFormat="1" x14ac:dyDescent="0.25">
      <c r="A63" s="45" t="s">
        <v>1153</v>
      </c>
      <c r="B63" s="114" t="s">
        <v>55</v>
      </c>
      <c r="C63" s="341">
        <v>215</v>
      </c>
      <c r="D63" s="342">
        <v>60</v>
      </c>
      <c r="E63" s="342">
        <f>tbEQUIPAMENTOSL[[#This Row],[QUANTIDADE MENSAL]]*12/tbEQUIPAMENTOSL[[#This Row],[VIDA ÚTIL (MESES)]]</f>
        <v>43</v>
      </c>
      <c r="F63" s="341">
        <v>807</v>
      </c>
      <c r="G63" s="341">
        <f>tbEQUIPAMENTOSL[[#This Row],[VL. ANUAL]]/12</f>
        <v>2891.75</v>
      </c>
      <c r="H63" s="341">
        <f>tbEQUIPAMENTOSL[[#This Row],[QUANTIDADE ANUAL]]*tbEQUIPAMENTOSL[[#This Row],[VL. UNITÁRIO]]</f>
        <v>34701</v>
      </c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</row>
    <row r="64" spans="1:27" s="113" customFormat="1" x14ac:dyDescent="0.25">
      <c r="A64" s="45" t="s">
        <v>1156</v>
      </c>
      <c r="B64" s="114" t="s">
        <v>55</v>
      </c>
      <c r="C64" s="341">
        <v>30</v>
      </c>
      <c r="D64" s="342">
        <v>60</v>
      </c>
      <c r="E64" s="342">
        <f>tbEQUIPAMENTOSL[[#This Row],[QUANTIDADE MENSAL]]*12/tbEQUIPAMENTOSL[[#This Row],[VIDA ÚTIL (MESES)]]</f>
        <v>6</v>
      </c>
      <c r="F64" s="341">
        <v>472.35</v>
      </c>
      <c r="G64" s="341">
        <f>tbEQUIPAMENTOSL[[#This Row],[VL. ANUAL]]/12</f>
        <v>236.17500000000004</v>
      </c>
      <c r="H64" s="341">
        <f>tbEQUIPAMENTOSL[[#This Row],[QUANTIDADE ANUAL]]*tbEQUIPAMENTOSL[[#This Row],[VL. UNITÁRIO]]</f>
        <v>2834.1000000000004</v>
      </c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</row>
    <row r="65" spans="1:26" s="113" customFormat="1" x14ac:dyDescent="0.25">
      <c r="A65" s="45" t="s">
        <v>1146</v>
      </c>
      <c r="B65" s="114" t="s">
        <v>55</v>
      </c>
      <c r="C65" s="341">
        <v>10</v>
      </c>
      <c r="D65" s="342">
        <v>60</v>
      </c>
      <c r="E65" s="342">
        <f>tbEQUIPAMENTOSL[[#This Row],[QUANTIDADE MENSAL]]*12/tbEQUIPAMENTOSL[[#This Row],[VIDA ÚTIL (MESES)]]</f>
        <v>2</v>
      </c>
      <c r="F65" s="341">
        <v>1036.58</v>
      </c>
      <c r="G65" s="341">
        <f>tbEQUIPAMENTOSL[[#This Row],[VL. ANUAL]]/12</f>
        <v>172.76333333333332</v>
      </c>
      <c r="H65" s="341">
        <f>tbEQUIPAMENTOSL[[#This Row],[QUANTIDADE ANUAL]]*tbEQUIPAMENTOSL[[#This Row],[VL. UNITÁRIO]]</f>
        <v>2073.16</v>
      </c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</row>
    <row r="66" spans="1:26" s="113" customFormat="1" x14ac:dyDescent="0.25">
      <c r="A66" s="45" t="s">
        <v>1148</v>
      </c>
      <c r="B66" s="114" t="s">
        <v>55</v>
      </c>
      <c r="C66" s="341">
        <v>15</v>
      </c>
      <c r="D66" s="342">
        <v>60</v>
      </c>
      <c r="E66" s="342">
        <f>tbEQUIPAMENTOSL[[#This Row],[QUANTIDADE MENSAL]]*12/tbEQUIPAMENTOSL[[#This Row],[VIDA ÚTIL (MESES)]]</f>
        <v>3</v>
      </c>
      <c r="F66" s="341">
        <v>3369.07</v>
      </c>
      <c r="G66" s="341">
        <f>tbEQUIPAMENTOSL[[#This Row],[VL. ANUAL]]/12</f>
        <v>842.26750000000004</v>
      </c>
      <c r="H66" s="341">
        <f>tbEQUIPAMENTOSL[[#This Row],[QUANTIDADE ANUAL]]*tbEQUIPAMENTOSL[[#This Row],[VL. UNITÁRIO]]</f>
        <v>10107.210000000001</v>
      </c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</row>
    <row r="67" spans="1:26" s="113" customFormat="1" x14ac:dyDescent="0.25">
      <c r="A67" s="45" t="s">
        <v>1147</v>
      </c>
      <c r="B67" s="114" t="s">
        <v>55</v>
      </c>
      <c r="C67" s="341">
        <v>15</v>
      </c>
      <c r="D67" s="342">
        <v>60</v>
      </c>
      <c r="E67" s="342">
        <f>tbEQUIPAMENTOSL[[#This Row],[QUANTIDADE MENSAL]]*12/tbEQUIPAMENTOSL[[#This Row],[VIDA ÚTIL (MESES)]]</f>
        <v>3</v>
      </c>
      <c r="F67" s="341">
        <v>2263.04</v>
      </c>
      <c r="G67" s="341">
        <f>tbEQUIPAMENTOSL[[#This Row],[VL. ANUAL]]/12</f>
        <v>565.76</v>
      </c>
      <c r="H67" s="341">
        <f>tbEQUIPAMENTOSL[[#This Row],[QUANTIDADE ANUAL]]*tbEQUIPAMENTOSL[[#This Row],[VL. UNITÁRIO]]</f>
        <v>6789.12</v>
      </c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</row>
    <row r="68" spans="1:26" s="113" customFormat="1" x14ac:dyDescent="0.25">
      <c r="A68" s="45" t="s">
        <v>1149</v>
      </c>
      <c r="B68" s="114" t="s">
        <v>55</v>
      </c>
      <c r="C68" s="341">
        <v>50</v>
      </c>
      <c r="D68" s="342">
        <v>60</v>
      </c>
      <c r="E68" s="342">
        <f>tbEQUIPAMENTOSL[[#This Row],[QUANTIDADE MENSAL]]*12/tbEQUIPAMENTOSL[[#This Row],[VIDA ÚTIL (MESES)]]</f>
        <v>10</v>
      </c>
      <c r="F68" s="341">
        <v>126.55</v>
      </c>
      <c r="G68" s="341">
        <f>tbEQUIPAMENTOSL[[#This Row],[VL. ANUAL]]/12</f>
        <v>105.45833333333333</v>
      </c>
      <c r="H68" s="341">
        <f>tbEQUIPAMENTOSL[[#This Row],[QUANTIDADE ANUAL]]*tbEQUIPAMENTOSL[[#This Row],[VL. UNITÁRIO]]</f>
        <v>1265.5</v>
      </c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</row>
    <row r="69" spans="1:26" s="113" customFormat="1" x14ac:dyDescent="0.25">
      <c r="A69" s="45" t="s">
        <v>1151</v>
      </c>
      <c r="B69" s="114" t="s">
        <v>55</v>
      </c>
      <c r="C69" s="341">
        <v>25</v>
      </c>
      <c r="D69" s="342">
        <v>60</v>
      </c>
      <c r="E69" s="342">
        <f>tbEQUIPAMENTOSL[[#This Row],[QUANTIDADE MENSAL]]*12/tbEQUIPAMENTOSL[[#This Row],[VIDA ÚTIL (MESES)]]</f>
        <v>5</v>
      </c>
      <c r="F69" s="341">
        <v>240.9</v>
      </c>
      <c r="G69" s="341">
        <f>tbEQUIPAMENTOSL[[#This Row],[VL. ANUAL]]/12</f>
        <v>100.375</v>
      </c>
      <c r="H69" s="341">
        <f>tbEQUIPAMENTOSL[[#This Row],[QUANTIDADE ANUAL]]*tbEQUIPAMENTOSL[[#This Row],[VL. UNITÁRIO]]</f>
        <v>1204.5</v>
      </c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7"/>
    </row>
    <row r="70" spans="1:26" s="113" customFormat="1" x14ac:dyDescent="0.25">
      <c r="A70" s="45" t="s">
        <v>1150</v>
      </c>
      <c r="B70" s="114" t="s">
        <v>55</v>
      </c>
      <c r="C70" s="341">
        <v>260</v>
      </c>
      <c r="D70" s="342">
        <v>60</v>
      </c>
      <c r="E70" s="342">
        <f>tbEQUIPAMENTOSL[[#This Row],[QUANTIDADE MENSAL]]*12/tbEQUIPAMENTOSL[[#This Row],[VIDA ÚTIL (MESES)]]</f>
        <v>52</v>
      </c>
      <c r="F70" s="341">
        <v>1134.1500000000001</v>
      </c>
      <c r="G70" s="341">
        <f>tbEQUIPAMENTOSL[[#This Row],[VL. ANUAL]]/12</f>
        <v>4914.6500000000005</v>
      </c>
      <c r="H70" s="341">
        <f>tbEQUIPAMENTOSL[[#This Row],[QUANTIDADE ANUAL]]*tbEQUIPAMENTOSL[[#This Row],[VL. UNITÁRIO]]</f>
        <v>58975.8</v>
      </c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7"/>
    </row>
    <row r="71" spans="1:26" s="113" customFormat="1" x14ac:dyDescent="0.25">
      <c r="A71" s="45" t="s">
        <v>1152</v>
      </c>
      <c r="B71" s="114" t="s">
        <v>55</v>
      </c>
      <c r="C71" s="341">
        <v>10</v>
      </c>
      <c r="D71" s="342">
        <v>60</v>
      </c>
      <c r="E71" s="342">
        <f>tbEQUIPAMENTOSL[[#This Row],[QUANTIDADE MENSAL]]*12/tbEQUIPAMENTOSL[[#This Row],[VIDA ÚTIL (MESES)]]</f>
        <v>2</v>
      </c>
      <c r="F71" s="341">
        <v>1288.4100000000001</v>
      </c>
      <c r="G71" s="341">
        <f>tbEQUIPAMENTOSL[[#This Row],[VL. ANUAL]]/12</f>
        <v>214.73500000000001</v>
      </c>
      <c r="H71" s="341">
        <f>tbEQUIPAMENTOSL[[#This Row],[QUANTIDADE ANUAL]]*tbEQUIPAMENTOSL[[#This Row],[VL. UNITÁRIO]]</f>
        <v>2576.8200000000002</v>
      </c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</row>
    <row r="72" spans="1:26" s="113" customFormat="1" x14ac:dyDescent="0.25">
      <c r="A72" s="45" t="s">
        <v>1154</v>
      </c>
      <c r="B72" s="114" t="s">
        <v>55</v>
      </c>
      <c r="C72" s="341">
        <v>200</v>
      </c>
      <c r="D72" s="342">
        <v>60</v>
      </c>
      <c r="E72" s="342">
        <f>tbEQUIPAMENTOSL[[#This Row],[QUANTIDADE MENSAL]]*12/tbEQUIPAMENTOSL[[#This Row],[VIDA ÚTIL (MESES)]]</f>
        <v>40</v>
      </c>
      <c r="F72" s="341">
        <v>35</v>
      </c>
      <c r="G72" s="341">
        <f>tbEQUIPAMENTOSL[[#This Row],[VL. ANUAL]]/12</f>
        <v>116.66666666666667</v>
      </c>
      <c r="H72" s="349">
        <f>tbEQUIPAMENTOSL[[#This Row],[QUANTIDADE ANUAL]]*tbEQUIPAMENTOSL[[#This Row],[VL. UNITÁRIO]]</f>
        <v>1400</v>
      </c>
    </row>
    <row r="73" spans="1:26" s="113" customFormat="1" x14ac:dyDescent="0.25">
      <c r="A73" s="45" t="s">
        <v>1155</v>
      </c>
      <c r="B73" s="114" t="s">
        <v>55</v>
      </c>
      <c r="C73" s="341">
        <v>200</v>
      </c>
      <c r="D73" s="342">
        <v>60</v>
      </c>
      <c r="E73" s="342">
        <f>tbEQUIPAMENTOSL[[#This Row],[QUANTIDADE MENSAL]]*12/tbEQUIPAMENTOSL[[#This Row],[VIDA ÚTIL (MESES)]]</f>
        <v>40</v>
      </c>
      <c r="F73" s="341">
        <v>35</v>
      </c>
      <c r="G73" s="341">
        <f>tbEQUIPAMENTOSL[[#This Row],[VL. ANUAL]]/12</f>
        <v>116.66666666666667</v>
      </c>
      <c r="H73" s="341">
        <f>tbEQUIPAMENTOSL[[#This Row],[QUANTIDADE ANUAL]]*tbEQUIPAMENTOSL[[#This Row],[VL. UNITÁRIO]]</f>
        <v>1400</v>
      </c>
    </row>
    <row r="74" spans="1:26" s="339" customFormat="1" x14ac:dyDescent="0.25">
      <c r="A74" s="45" t="s">
        <v>127</v>
      </c>
      <c r="B74" s="114"/>
      <c r="C74" s="114"/>
      <c r="D74" s="27"/>
      <c r="E74" s="27"/>
      <c r="F74" s="114"/>
      <c r="G74" s="350">
        <f>SUBTOTAL(109,tbEQUIPAMENTOSL[VL. MENSAL])</f>
        <v>20733.567500000001</v>
      </c>
      <c r="H74" s="350">
        <f>SUBTOTAL(109,tbEQUIPAMENTOSL[VL. ANUAL])</f>
        <v>248802.81</v>
      </c>
    </row>
    <row r="75" spans="1:26" ht="15.75" customHeight="1" x14ac:dyDescent="0.25">
      <c r="B75" s="23"/>
      <c r="C75" s="23"/>
      <c r="D75" s="23"/>
      <c r="E75" s="23"/>
      <c r="F75" s="24"/>
      <c r="G75" s="24"/>
    </row>
    <row r="76" spans="1:26" ht="15.75" customHeight="1" x14ac:dyDescent="0.25">
      <c r="A76" s="609" t="s">
        <v>1162</v>
      </c>
      <c r="B76" s="609"/>
      <c r="C76" s="609" t="s">
        <v>912</v>
      </c>
      <c r="D76" s="609"/>
      <c r="E76" s="23"/>
      <c r="F76" s="24"/>
      <c r="G76" s="24"/>
    </row>
    <row r="77" spans="1:26" ht="15.75" customHeight="1" x14ac:dyDescent="0.25">
      <c r="A77" s="614" t="s">
        <v>1161</v>
      </c>
      <c r="B77" s="615"/>
      <c r="C77" s="616"/>
      <c r="D77" s="116">
        <f>tbPRODUTOSL[[#Totals],[VL. MENSAL]]+tbMATERIAISL[[#Totals],[VL. MENSAL]]+tbEQUIPAMENTOSL[[#Totals],[VL. MENSAL]]</f>
        <v>112673.33416666667</v>
      </c>
      <c r="E77" s="23"/>
      <c r="F77" s="24"/>
      <c r="G77" s="24"/>
    </row>
    <row r="78" spans="1:26" ht="15.75" customHeight="1" x14ac:dyDescent="0.25">
      <c r="A78" s="612" t="s">
        <v>871</v>
      </c>
      <c r="B78" s="612"/>
      <c r="C78" s="357">
        <v>0.05</v>
      </c>
      <c r="D78" s="358">
        <f>C78*D77</f>
        <v>5633.6667083333341</v>
      </c>
      <c r="E78" s="23"/>
      <c r="F78" s="24"/>
      <c r="G78" s="24"/>
    </row>
    <row r="79" spans="1:26" ht="15.75" customHeight="1" x14ac:dyDescent="0.25">
      <c r="A79" s="613" t="s">
        <v>873</v>
      </c>
      <c r="B79" s="613"/>
      <c r="C79" s="356">
        <v>0.1</v>
      </c>
      <c r="D79" s="359">
        <f>SUM(D77,D78)*C79</f>
        <v>11830.700087500001</v>
      </c>
      <c r="E79" s="23"/>
      <c r="F79" s="24"/>
      <c r="G79" s="24"/>
    </row>
    <row r="80" spans="1:26" ht="15.75" customHeight="1" x14ac:dyDescent="0.25">
      <c r="A80" s="614" t="s">
        <v>1163</v>
      </c>
      <c r="B80" s="615"/>
      <c r="C80" s="616"/>
      <c r="D80" s="116">
        <f>SUM(D77:D79)</f>
        <v>130137.70096250001</v>
      </c>
      <c r="E80" s="23"/>
      <c r="F80" s="24"/>
      <c r="G80" s="24"/>
    </row>
    <row r="81" spans="1:7" ht="15.75" customHeight="1" x14ac:dyDescent="0.25">
      <c r="A81" s="613" t="s">
        <v>876</v>
      </c>
      <c r="B81" s="613"/>
      <c r="C81" s="19">
        <f>'DADOS CCT'!D21</f>
        <v>7.5999999999999998E-2</v>
      </c>
      <c r="D81" s="35">
        <f>($D$80/(1-$C$85))*C81</f>
        <v>11401.112706801154</v>
      </c>
      <c r="E81" s="23"/>
      <c r="F81" s="24"/>
      <c r="G81" s="24"/>
    </row>
    <row r="82" spans="1:7" ht="15.75" customHeight="1" x14ac:dyDescent="0.25">
      <c r="A82" s="613" t="s">
        <v>878</v>
      </c>
      <c r="B82" s="613"/>
      <c r="C82" s="19">
        <f>'DADOS CCT'!D20</f>
        <v>1.6500000000000001E-2</v>
      </c>
      <c r="D82" s="35">
        <f t="shared" ref="D82:D84" si="3">($D$80/(1-$C$85))*C82</f>
        <v>2475.2415745028825</v>
      </c>
      <c r="E82" s="23"/>
      <c r="F82" s="24"/>
      <c r="G82" s="24"/>
    </row>
    <row r="83" spans="1:7" ht="15.75" customHeight="1" x14ac:dyDescent="0.25">
      <c r="A83" s="613" t="s">
        <v>880</v>
      </c>
      <c r="B83" s="613"/>
      <c r="C83" s="15"/>
      <c r="D83" s="35">
        <f t="shared" si="3"/>
        <v>0</v>
      </c>
      <c r="E83" s="23"/>
      <c r="F83" s="24"/>
      <c r="G83" s="24"/>
    </row>
    <row r="84" spans="1:7" ht="15.75" customHeight="1" x14ac:dyDescent="0.25">
      <c r="A84" s="617" t="s">
        <v>882</v>
      </c>
      <c r="B84" s="617"/>
      <c r="C84" s="360">
        <f>'DADOS CCT'!D19</f>
        <v>0.04</v>
      </c>
      <c r="D84" s="359">
        <f t="shared" si="3"/>
        <v>6000.5856351585026</v>
      </c>
      <c r="E84" s="23"/>
      <c r="F84" s="24"/>
      <c r="G84" s="24"/>
    </row>
    <row r="85" spans="1:7" ht="15.75" customHeight="1" x14ac:dyDescent="0.25">
      <c r="A85" s="416" t="s">
        <v>127</v>
      </c>
      <c r="B85" s="416"/>
      <c r="C85" s="361">
        <f>SUM(C81:C84)</f>
        <v>0.13250000000000001</v>
      </c>
      <c r="D85" s="362">
        <f>SUM(D81:D84,D78:D79)</f>
        <v>37341.306712295875</v>
      </c>
      <c r="E85" s="23"/>
      <c r="F85" s="24"/>
      <c r="G85" s="24"/>
    </row>
    <row r="86" spans="1:7" ht="15.75" customHeight="1" thickBot="1" x14ac:dyDescent="0.3">
      <c r="B86" s="23"/>
      <c r="C86" s="23"/>
      <c r="D86" s="23"/>
      <c r="E86" s="23"/>
      <c r="F86" s="24"/>
      <c r="G86" s="24"/>
    </row>
    <row r="87" spans="1:7" ht="15.75" customHeight="1" thickBot="1" x14ac:dyDescent="0.35">
      <c r="A87" s="597" t="s">
        <v>1164</v>
      </c>
      <c r="B87" s="598"/>
      <c r="C87" s="164"/>
      <c r="D87" s="165">
        <f>D77+D85</f>
        <v>150014.64087896253</v>
      </c>
      <c r="E87" s="23"/>
      <c r="F87" s="24"/>
      <c r="G87" s="24"/>
    </row>
    <row r="88" spans="1:7" ht="15.75" customHeight="1" x14ac:dyDescent="0.25">
      <c r="B88" s="23"/>
      <c r="C88" s="23"/>
      <c r="D88" s="23"/>
      <c r="E88" s="23"/>
      <c r="F88" s="24"/>
      <c r="G88" s="24"/>
    </row>
    <row r="89" spans="1:7" ht="15.75" customHeight="1" x14ac:dyDescent="0.25">
      <c r="B89" s="23"/>
      <c r="C89" s="23"/>
      <c r="D89" s="23"/>
      <c r="E89" s="23"/>
      <c r="F89" s="24"/>
      <c r="G89" s="24"/>
    </row>
    <row r="90" spans="1:7" ht="15.75" customHeight="1" x14ac:dyDescent="0.25">
      <c r="B90" s="23"/>
      <c r="C90" s="23"/>
      <c r="D90" s="23"/>
      <c r="E90" s="23"/>
      <c r="F90" s="24"/>
      <c r="G90" s="24"/>
    </row>
    <row r="91" spans="1:7" ht="15.75" customHeight="1" x14ac:dyDescent="0.25">
      <c r="B91" s="23"/>
      <c r="C91" s="23"/>
      <c r="D91" s="23"/>
      <c r="E91" s="23"/>
      <c r="F91" s="24"/>
      <c r="G91" s="24"/>
    </row>
    <row r="92" spans="1:7" ht="15.75" customHeight="1" x14ac:dyDescent="0.25">
      <c r="B92" s="23"/>
      <c r="C92" s="23"/>
      <c r="D92" s="23"/>
      <c r="E92" s="23"/>
      <c r="F92" s="24"/>
      <c r="G92" s="24"/>
    </row>
    <row r="93" spans="1:7" ht="15.75" customHeight="1" x14ac:dyDescent="0.25">
      <c r="B93" s="23"/>
      <c r="C93" s="23"/>
      <c r="D93" s="23"/>
      <c r="E93" s="23"/>
      <c r="F93" s="24"/>
      <c r="G93" s="24"/>
    </row>
    <row r="94" spans="1:7" ht="15.75" customHeight="1" x14ac:dyDescent="0.25">
      <c r="B94" s="23"/>
      <c r="C94" s="23"/>
      <c r="D94" s="23"/>
      <c r="E94" s="23"/>
      <c r="F94" s="24"/>
      <c r="G94" s="24"/>
    </row>
    <row r="95" spans="1:7" ht="15.75" customHeight="1" x14ac:dyDescent="0.25">
      <c r="B95" s="23"/>
      <c r="C95" s="23"/>
      <c r="D95" s="23"/>
      <c r="E95" s="23"/>
      <c r="F95" s="24"/>
      <c r="G95" s="24"/>
    </row>
    <row r="96" spans="1:7" ht="15.75" customHeight="1" x14ac:dyDescent="0.25">
      <c r="B96" s="23"/>
      <c r="C96" s="23"/>
      <c r="D96" s="23"/>
      <c r="E96" s="23"/>
      <c r="F96" s="24"/>
      <c r="G96" s="24"/>
    </row>
    <row r="97" spans="2:7" ht="15.75" customHeight="1" x14ac:dyDescent="0.25">
      <c r="B97" s="23"/>
      <c r="C97" s="23"/>
      <c r="D97" s="23"/>
      <c r="E97" s="23"/>
      <c r="F97" s="24"/>
      <c r="G97" s="24"/>
    </row>
    <row r="98" spans="2:7" ht="15.75" customHeight="1" x14ac:dyDescent="0.25">
      <c r="B98" s="23"/>
      <c r="C98" s="23"/>
      <c r="D98" s="23"/>
      <c r="E98" s="23"/>
      <c r="F98" s="24"/>
      <c r="G98" s="24"/>
    </row>
    <row r="99" spans="2:7" ht="15.75" customHeight="1" x14ac:dyDescent="0.25">
      <c r="B99" s="23"/>
      <c r="C99" s="23"/>
      <c r="D99" s="23"/>
      <c r="E99" s="23"/>
      <c r="F99" s="24"/>
      <c r="G99" s="24"/>
    </row>
    <row r="100" spans="2:7" ht="15.75" customHeight="1" x14ac:dyDescent="0.25">
      <c r="B100" s="23"/>
      <c r="C100" s="23"/>
      <c r="D100" s="23"/>
      <c r="E100" s="23"/>
      <c r="F100" s="24"/>
      <c r="G100" s="24"/>
    </row>
    <row r="101" spans="2:7" ht="15.75" customHeight="1" x14ac:dyDescent="0.25">
      <c r="B101" s="23"/>
      <c r="C101" s="23"/>
      <c r="D101" s="23"/>
      <c r="E101" s="23"/>
      <c r="F101" s="24"/>
      <c r="G101" s="24"/>
    </row>
    <row r="102" spans="2:7" ht="15.75" customHeight="1" x14ac:dyDescent="0.25">
      <c r="B102" s="23"/>
      <c r="C102" s="23"/>
      <c r="D102" s="23"/>
      <c r="E102" s="23"/>
      <c r="F102" s="24"/>
      <c r="G102" s="24"/>
    </row>
    <row r="103" spans="2:7" ht="15.75" customHeight="1" x14ac:dyDescent="0.25">
      <c r="B103" s="23"/>
      <c r="C103" s="23"/>
      <c r="D103" s="23"/>
      <c r="E103" s="23"/>
      <c r="F103" s="24"/>
      <c r="G103" s="24"/>
    </row>
    <row r="104" spans="2:7" ht="15.75" customHeight="1" x14ac:dyDescent="0.25">
      <c r="B104" s="23"/>
      <c r="C104" s="23"/>
      <c r="D104" s="23"/>
      <c r="E104" s="23"/>
      <c r="F104" s="24"/>
      <c r="G104" s="24"/>
    </row>
    <row r="105" spans="2:7" ht="15.75" customHeight="1" x14ac:dyDescent="0.25">
      <c r="B105" s="23"/>
      <c r="C105" s="23"/>
      <c r="D105" s="23"/>
      <c r="E105" s="23"/>
      <c r="F105" s="24"/>
      <c r="G105" s="24"/>
    </row>
    <row r="106" spans="2:7" ht="15.75" customHeight="1" x14ac:dyDescent="0.25">
      <c r="B106" s="23"/>
      <c r="C106" s="23"/>
      <c r="D106" s="23"/>
      <c r="E106" s="23"/>
      <c r="F106" s="24"/>
      <c r="G106" s="24"/>
    </row>
    <row r="107" spans="2:7" ht="15.75" customHeight="1" x14ac:dyDescent="0.25">
      <c r="B107" s="23"/>
      <c r="C107" s="23"/>
      <c r="D107" s="23"/>
      <c r="E107" s="23"/>
      <c r="F107" s="24"/>
      <c r="G107" s="24"/>
    </row>
    <row r="108" spans="2:7" ht="15.75" customHeight="1" x14ac:dyDescent="0.25">
      <c r="B108" s="23"/>
      <c r="C108" s="23"/>
      <c r="D108" s="23"/>
      <c r="E108" s="23"/>
      <c r="F108" s="24"/>
      <c r="G108" s="24"/>
    </row>
    <row r="109" spans="2:7" ht="15.75" customHeight="1" x14ac:dyDescent="0.25">
      <c r="B109" s="23"/>
      <c r="C109" s="23"/>
      <c r="D109" s="23"/>
      <c r="E109" s="23"/>
      <c r="F109" s="24"/>
      <c r="G109" s="24"/>
    </row>
    <row r="110" spans="2:7" ht="15.75" customHeight="1" x14ac:dyDescent="0.25">
      <c r="B110" s="23"/>
      <c r="C110" s="23"/>
      <c r="D110" s="23"/>
      <c r="E110" s="23"/>
      <c r="F110" s="24"/>
      <c r="G110" s="24"/>
    </row>
    <row r="111" spans="2:7" ht="15.75" customHeight="1" x14ac:dyDescent="0.25">
      <c r="B111" s="23"/>
      <c r="C111" s="23"/>
      <c r="D111" s="23"/>
      <c r="E111" s="23"/>
      <c r="F111" s="24"/>
      <c r="G111" s="24"/>
    </row>
    <row r="112" spans="2:7" ht="15.75" customHeight="1" x14ac:dyDescent="0.25">
      <c r="B112" s="23"/>
      <c r="C112" s="23"/>
      <c r="D112" s="23"/>
      <c r="E112" s="23"/>
      <c r="F112" s="24"/>
      <c r="G112" s="24"/>
    </row>
    <row r="113" spans="2:7" ht="15.75" customHeight="1" x14ac:dyDescent="0.25">
      <c r="B113" s="23"/>
      <c r="C113" s="23"/>
      <c r="D113" s="23"/>
      <c r="E113" s="23"/>
      <c r="F113" s="24"/>
      <c r="G113" s="24"/>
    </row>
    <row r="114" spans="2:7" ht="15.75" customHeight="1" x14ac:dyDescent="0.25">
      <c r="B114" s="23"/>
      <c r="C114" s="23"/>
      <c r="D114" s="23"/>
      <c r="E114" s="23"/>
      <c r="F114" s="24"/>
      <c r="G114" s="24"/>
    </row>
    <row r="115" spans="2:7" ht="15.75" customHeight="1" x14ac:dyDescent="0.25">
      <c r="B115" s="23"/>
      <c r="C115" s="23"/>
      <c r="D115" s="23"/>
      <c r="E115" s="23"/>
      <c r="F115" s="24"/>
      <c r="G115" s="24"/>
    </row>
    <row r="116" spans="2:7" ht="15.75" customHeight="1" x14ac:dyDescent="0.25">
      <c r="B116" s="23"/>
      <c r="C116" s="23"/>
      <c r="D116" s="23"/>
      <c r="E116" s="23"/>
      <c r="F116" s="24"/>
      <c r="G116" s="24"/>
    </row>
    <row r="117" spans="2:7" ht="15.75" customHeight="1" x14ac:dyDescent="0.25">
      <c r="B117" s="23"/>
      <c r="C117" s="23"/>
      <c r="D117" s="23"/>
      <c r="E117" s="23"/>
      <c r="F117" s="24"/>
      <c r="G117" s="24"/>
    </row>
    <row r="118" spans="2:7" ht="15.75" customHeight="1" x14ac:dyDescent="0.25">
      <c r="B118" s="23"/>
      <c r="C118" s="23"/>
      <c r="D118" s="23"/>
      <c r="E118" s="23"/>
      <c r="F118" s="24"/>
      <c r="G118" s="24"/>
    </row>
    <row r="119" spans="2:7" ht="15.75" customHeight="1" x14ac:dyDescent="0.25">
      <c r="B119" s="23"/>
      <c r="C119" s="23"/>
      <c r="D119" s="23"/>
      <c r="E119" s="23"/>
      <c r="F119" s="24"/>
      <c r="G119" s="24"/>
    </row>
    <row r="120" spans="2:7" ht="15.75" customHeight="1" x14ac:dyDescent="0.25">
      <c r="B120" s="23"/>
      <c r="C120" s="23"/>
      <c r="D120" s="23"/>
      <c r="E120" s="23"/>
      <c r="F120" s="24"/>
      <c r="G120" s="24"/>
    </row>
    <row r="121" spans="2:7" ht="15.75" customHeight="1" x14ac:dyDescent="0.25">
      <c r="B121" s="23"/>
      <c r="C121" s="23"/>
      <c r="D121" s="23"/>
      <c r="E121" s="23"/>
      <c r="F121" s="24"/>
      <c r="G121" s="24"/>
    </row>
    <row r="122" spans="2:7" ht="15.75" customHeight="1" x14ac:dyDescent="0.25">
      <c r="B122" s="23"/>
      <c r="C122" s="23"/>
      <c r="D122" s="23"/>
      <c r="E122" s="23"/>
      <c r="F122" s="24"/>
      <c r="G122" s="24"/>
    </row>
    <row r="123" spans="2:7" ht="15.75" customHeight="1" x14ac:dyDescent="0.25">
      <c r="B123" s="23"/>
      <c r="C123" s="23"/>
      <c r="D123" s="23"/>
      <c r="E123" s="23"/>
      <c r="F123" s="24"/>
      <c r="G123" s="24"/>
    </row>
    <row r="124" spans="2:7" ht="15.75" customHeight="1" x14ac:dyDescent="0.25">
      <c r="B124" s="23"/>
      <c r="C124" s="23"/>
      <c r="D124" s="23"/>
      <c r="E124" s="23"/>
      <c r="F124" s="24"/>
      <c r="G124" s="24"/>
    </row>
    <row r="125" spans="2:7" ht="15.75" customHeight="1" x14ac:dyDescent="0.25">
      <c r="B125" s="23"/>
      <c r="C125" s="23"/>
      <c r="D125" s="23"/>
      <c r="E125" s="23"/>
      <c r="F125" s="24"/>
      <c r="G125" s="24"/>
    </row>
    <row r="126" spans="2:7" ht="15.75" customHeight="1" x14ac:dyDescent="0.25">
      <c r="B126" s="23"/>
      <c r="C126" s="23"/>
      <c r="D126" s="23"/>
      <c r="E126" s="23"/>
      <c r="F126" s="24"/>
      <c r="G126" s="24"/>
    </row>
    <row r="127" spans="2:7" ht="15.75" customHeight="1" x14ac:dyDescent="0.25">
      <c r="B127" s="23"/>
      <c r="C127" s="23"/>
      <c r="D127" s="23"/>
      <c r="E127" s="23"/>
      <c r="F127" s="24"/>
      <c r="G127" s="24"/>
    </row>
    <row r="128" spans="2:7" ht="15.75" customHeight="1" x14ac:dyDescent="0.25">
      <c r="B128" s="23"/>
      <c r="C128" s="23"/>
      <c r="D128" s="23"/>
      <c r="E128" s="23"/>
      <c r="F128" s="24"/>
      <c r="G128" s="24"/>
    </row>
    <row r="129" spans="2:7" ht="15.75" customHeight="1" x14ac:dyDescent="0.25">
      <c r="B129" s="23"/>
      <c r="C129" s="23"/>
      <c r="D129" s="23"/>
      <c r="E129" s="23"/>
      <c r="F129" s="24"/>
      <c r="G129" s="24"/>
    </row>
    <row r="130" spans="2:7" ht="15.75" customHeight="1" x14ac:dyDescent="0.25">
      <c r="B130" s="23"/>
      <c r="C130" s="23"/>
      <c r="D130" s="23"/>
      <c r="E130" s="23"/>
      <c r="F130" s="24"/>
      <c r="G130" s="24"/>
    </row>
    <row r="131" spans="2:7" ht="15.75" customHeight="1" x14ac:dyDescent="0.25">
      <c r="B131" s="23"/>
      <c r="C131" s="23"/>
      <c r="D131" s="23"/>
      <c r="E131" s="23"/>
      <c r="F131" s="24"/>
      <c r="G131" s="24"/>
    </row>
    <row r="132" spans="2:7" ht="15.75" customHeight="1" x14ac:dyDescent="0.25">
      <c r="B132" s="23"/>
      <c r="C132" s="23"/>
      <c r="D132" s="23"/>
      <c r="E132" s="23"/>
      <c r="F132" s="24"/>
      <c r="G132" s="24"/>
    </row>
    <row r="133" spans="2:7" ht="15.75" customHeight="1" x14ac:dyDescent="0.25">
      <c r="B133" s="23"/>
      <c r="C133" s="23"/>
      <c r="D133" s="23"/>
      <c r="E133" s="23"/>
      <c r="F133" s="24"/>
      <c r="G133" s="24"/>
    </row>
    <row r="134" spans="2:7" ht="15.75" customHeight="1" x14ac:dyDescent="0.25">
      <c r="B134" s="23"/>
      <c r="C134" s="23"/>
      <c r="D134" s="23"/>
      <c r="E134" s="23"/>
      <c r="F134" s="24"/>
      <c r="G134" s="24"/>
    </row>
    <row r="135" spans="2:7" ht="15.75" customHeight="1" x14ac:dyDescent="0.25">
      <c r="B135" s="23"/>
      <c r="C135" s="23"/>
      <c r="D135" s="23"/>
      <c r="E135" s="23"/>
      <c r="F135" s="24"/>
      <c r="G135" s="24"/>
    </row>
    <row r="136" spans="2:7" ht="15.75" customHeight="1" x14ac:dyDescent="0.25">
      <c r="B136" s="23"/>
      <c r="C136" s="23"/>
      <c r="D136" s="23"/>
      <c r="E136" s="23"/>
      <c r="F136" s="24"/>
      <c r="G136" s="24"/>
    </row>
    <row r="137" spans="2:7" ht="15.75" customHeight="1" x14ac:dyDescent="0.25">
      <c r="B137" s="23"/>
      <c r="C137" s="23"/>
      <c r="D137" s="23"/>
      <c r="E137" s="23"/>
      <c r="F137" s="24"/>
      <c r="G137" s="24"/>
    </row>
    <row r="138" spans="2:7" ht="15.75" customHeight="1" x14ac:dyDescent="0.25">
      <c r="B138" s="23"/>
      <c r="C138" s="23"/>
      <c r="D138" s="23"/>
      <c r="E138" s="23"/>
      <c r="F138" s="24"/>
      <c r="G138" s="24"/>
    </row>
    <row r="139" spans="2:7" ht="15.75" customHeight="1" x14ac:dyDescent="0.25">
      <c r="B139" s="23"/>
      <c r="C139" s="23"/>
      <c r="D139" s="23"/>
      <c r="E139" s="23"/>
      <c r="F139" s="24"/>
      <c r="G139" s="24"/>
    </row>
    <row r="140" spans="2:7" ht="15.75" customHeight="1" x14ac:dyDescent="0.25">
      <c r="B140" s="23"/>
      <c r="C140" s="23"/>
      <c r="D140" s="23"/>
      <c r="E140" s="23"/>
      <c r="F140" s="24"/>
      <c r="G140" s="24"/>
    </row>
    <row r="141" spans="2:7" ht="15.75" customHeight="1" x14ac:dyDescent="0.25">
      <c r="B141" s="23"/>
      <c r="C141" s="23"/>
      <c r="D141" s="23"/>
      <c r="E141" s="23"/>
      <c r="F141" s="24"/>
      <c r="G141" s="24"/>
    </row>
    <row r="142" spans="2:7" ht="15.75" customHeight="1" x14ac:dyDescent="0.25">
      <c r="B142" s="23"/>
      <c r="C142" s="23"/>
      <c r="D142" s="23"/>
      <c r="E142" s="23"/>
      <c r="F142" s="24"/>
      <c r="G142" s="24"/>
    </row>
    <row r="143" spans="2:7" ht="15.75" customHeight="1" x14ac:dyDescent="0.25">
      <c r="B143" s="23"/>
      <c r="C143" s="23"/>
      <c r="D143" s="23"/>
      <c r="E143" s="23"/>
      <c r="F143" s="24"/>
      <c r="G143" s="24"/>
    </row>
    <row r="144" spans="2:7" ht="15.75" customHeight="1" x14ac:dyDescent="0.25">
      <c r="B144" s="23"/>
      <c r="C144" s="23"/>
      <c r="D144" s="23"/>
      <c r="E144" s="23"/>
      <c r="F144" s="24"/>
      <c r="G144" s="24"/>
    </row>
    <row r="145" spans="2:7" ht="15.75" customHeight="1" x14ac:dyDescent="0.25">
      <c r="B145" s="23"/>
      <c r="C145" s="23"/>
      <c r="D145" s="23"/>
      <c r="E145" s="23"/>
      <c r="F145" s="24"/>
      <c r="G145" s="24"/>
    </row>
    <row r="146" spans="2:7" ht="15.75" customHeight="1" x14ac:dyDescent="0.25">
      <c r="B146" s="23"/>
      <c r="C146" s="23"/>
      <c r="D146" s="23"/>
      <c r="E146" s="23"/>
      <c r="F146" s="24"/>
      <c r="G146" s="24"/>
    </row>
    <row r="147" spans="2:7" ht="15.75" customHeight="1" x14ac:dyDescent="0.25">
      <c r="B147" s="23"/>
      <c r="C147" s="23"/>
      <c r="D147" s="23"/>
      <c r="E147" s="23"/>
      <c r="F147" s="24"/>
      <c r="G147" s="24"/>
    </row>
    <row r="148" spans="2:7" ht="15.75" customHeight="1" x14ac:dyDescent="0.25">
      <c r="B148" s="23"/>
      <c r="C148" s="23"/>
      <c r="D148" s="23"/>
      <c r="E148" s="23"/>
      <c r="F148" s="24"/>
      <c r="G148" s="24"/>
    </row>
    <row r="149" spans="2:7" ht="15.75" customHeight="1" x14ac:dyDescent="0.25">
      <c r="B149" s="23"/>
      <c r="C149" s="23"/>
      <c r="D149" s="23"/>
      <c r="E149" s="23"/>
      <c r="F149" s="24"/>
      <c r="G149" s="24"/>
    </row>
    <row r="150" spans="2:7" ht="15.75" customHeight="1" x14ac:dyDescent="0.25">
      <c r="B150" s="23"/>
      <c r="C150" s="23"/>
      <c r="D150" s="23"/>
      <c r="E150" s="23"/>
      <c r="F150" s="24"/>
      <c r="G150" s="24"/>
    </row>
    <row r="151" spans="2:7" ht="15.75" customHeight="1" x14ac:dyDescent="0.25">
      <c r="B151" s="23"/>
      <c r="C151" s="23"/>
      <c r="D151" s="23"/>
      <c r="E151" s="23"/>
      <c r="F151" s="24"/>
      <c r="G151" s="24"/>
    </row>
    <row r="152" spans="2:7" ht="15.75" customHeight="1" x14ac:dyDescent="0.25">
      <c r="B152" s="23"/>
      <c r="C152" s="23"/>
      <c r="D152" s="23"/>
      <c r="E152" s="23"/>
      <c r="F152" s="24"/>
      <c r="G152" s="24"/>
    </row>
    <row r="153" spans="2:7" ht="15.75" customHeight="1" x14ac:dyDescent="0.25">
      <c r="B153" s="23"/>
      <c r="C153" s="23"/>
      <c r="D153" s="23"/>
      <c r="E153" s="23"/>
      <c r="F153" s="24"/>
      <c r="G153" s="24"/>
    </row>
    <row r="154" spans="2:7" ht="15.75" customHeight="1" x14ac:dyDescent="0.25">
      <c r="B154" s="23"/>
      <c r="C154" s="23"/>
      <c r="D154" s="23"/>
      <c r="E154" s="23"/>
      <c r="F154" s="24"/>
      <c r="G154" s="24"/>
    </row>
    <row r="155" spans="2:7" ht="15.75" customHeight="1" x14ac:dyDescent="0.25">
      <c r="B155" s="23"/>
      <c r="C155" s="23"/>
      <c r="D155" s="23"/>
      <c r="E155" s="23"/>
      <c r="F155" s="24"/>
      <c r="G155" s="24"/>
    </row>
    <row r="156" spans="2:7" ht="15.75" customHeight="1" x14ac:dyDescent="0.25">
      <c r="B156" s="23"/>
      <c r="C156" s="23"/>
      <c r="D156" s="23"/>
      <c r="E156" s="23"/>
      <c r="F156" s="24"/>
      <c r="G156" s="24"/>
    </row>
    <row r="157" spans="2:7" ht="15.75" customHeight="1" x14ac:dyDescent="0.25">
      <c r="B157" s="23"/>
      <c r="C157" s="23"/>
      <c r="D157" s="23"/>
      <c r="E157" s="23"/>
      <c r="F157" s="24"/>
      <c r="G157" s="24"/>
    </row>
    <row r="158" spans="2:7" ht="15.75" customHeight="1" x14ac:dyDescent="0.25">
      <c r="B158" s="23"/>
      <c r="C158" s="23"/>
      <c r="D158" s="23"/>
      <c r="E158" s="23"/>
      <c r="F158" s="24"/>
      <c r="G158" s="24"/>
    </row>
    <row r="159" spans="2:7" ht="15.75" customHeight="1" x14ac:dyDescent="0.25">
      <c r="B159" s="23"/>
      <c r="C159" s="23"/>
      <c r="D159" s="23"/>
      <c r="E159" s="23"/>
      <c r="F159" s="24"/>
      <c r="G159" s="24"/>
    </row>
    <row r="160" spans="2:7" ht="15.75" customHeight="1" x14ac:dyDescent="0.25">
      <c r="B160" s="23"/>
      <c r="C160" s="23"/>
      <c r="D160" s="23"/>
      <c r="E160" s="23"/>
      <c r="F160" s="24"/>
      <c r="G160" s="24"/>
    </row>
    <row r="161" spans="2:7" ht="15.75" customHeight="1" x14ac:dyDescent="0.25">
      <c r="B161" s="23"/>
      <c r="C161" s="23"/>
      <c r="D161" s="23"/>
      <c r="E161" s="23"/>
      <c r="F161" s="24"/>
      <c r="G161" s="24"/>
    </row>
    <row r="162" spans="2:7" ht="15.75" customHeight="1" x14ac:dyDescent="0.25">
      <c r="B162" s="23"/>
      <c r="C162" s="23"/>
      <c r="D162" s="23"/>
      <c r="E162" s="23"/>
      <c r="F162" s="24"/>
      <c r="G162" s="24"/>
    </row>
    <row r="163" spans="2:7" ht="15.75" customHeight="1" x14ac:dyDescent="0.25">
      <c r="B163" s="23"/>
      <c r="C163" s="23"/>
      <c r="D163" s="23"/>
      <c r="E163" s="23"/>
      <c r="F163" s="24"/>
      <c r="G163" s="24"/>
    </row>
    <row r="164" spans="2:7" ht="15.75" customHeight="1" x14ac:dyDescent="0.25">
      <c r="B164" s="23"/>
      <c r="C164" s="23"/>
      <c r="D164" s="23"/>
      <c r="E164" s="23"/>
      <c r="F164" s="24"/>
      <c r="G164" s="24"/>
    </row>
    <row r="165" spans="2:7" ht="15.75" customHeight="1" x14ac:dyDescent="0.25">
      <c r="B165" s="23"/>
      <c r="C165" s="23"/>
      <c r="D165" s="23"/>
      <c r="E165" s="23"/>
      <c r="F165" s="24"/>
      <c r="G165" s="24"/>
    </row>
    <row r="166" spans="2:7" ht="15.75" customHeight="1" x14ac:dyDescent="0.25">
      <c r="B166" s="23"/>
      <c r="C166" s="23"/>
      <c r="D166" s="23"/>
      <c r="E166" s="23"/>
      <c r="F166" s="24"/>
      <c r="G166" s="24"/>
    </row>
    <row r="167" spans="2:7" ht="15.75" customHeight="1" x14ac:dyDescent="0.25">
      <c r="B167" s="23"/>
      <c r="C167" s="23"/>
      <c r="D167" s="23"/>
      <c r="E167" s="23"/>
      <c r="F167" s="24"/>
      <c r="G167" s="24"/>
    </row>
    <row r="168" spans="2:7" ht="15.75" customHeight="1" x14ac:dyDescent="0.25">
      <c r="B168" s="23"/>
      <c r="C168" s="23"/>
      <c r="D168" s="23"/>
      <c r="E168" s="23"/>
      <c r="F168" s="24"/>
      <c r="G168" s="24"/>
    </row>
    <row r="169" spans="2:7" ht="15.75" customHeight="1" x14ac:dyDescent="0.25">
      <c r="B169" s="23"/>
      <c r="C169" s="23"/>
      <c r="D169" s="23"/>
      <c r="E169" s="23"/>
      <c r="F169" s="24"/>
      <c r="G169" s="24"/>
    </row>
    <row r="170" spans="2:7" ht="15.75" customHeight="1" x14ac:dyDescent="0.25">
      <c r="B170" s="23"/>
      <c r="C170" s="23"/>
      <c r="D170" s="23"/>
      <c r="E170" s="23"/>
      <c r="F170" s="24"/>
      <c r="G170" s="24"/>
    </row>
    <row r="171" spans="2:7" ht="15.75" customHeight="1" x14ac:dyDescent="0.25">
      <c r="B171" s="23"/>
      <c r="C171" s="23"/>
      <c r="D171" s="23"/>
      <c r="E171" s="23"/>
      <c r="F171" s="24"/>
      <c r="G171" s="24"/>
    </row>
    <row r="172" spans="2:7" ht="15.75" customHeight="1" x14ac:dyDescent="0.25">
      <c r="B172" s="23"/>
      <c r="C172" s="23"/>
      <c r="D172" s="23"/>
      <c r="E172" s="23"/>
      <c r="F172" s="24"/>
      <c r="G172" s="24"/>
    </row>
    <row r="173" spans="2:7" ht="15.75" customHeight="1" x14ac:dyDescent="0.25">
      <c r="B173" s="23"/>
      <c r="C173" s="23"/>
      <c r="D173" s="23"/>
      <c r="E173" s="23"/>
      <c r="F173" s="24"/>
      <c r="G173" s="24"/>
    </row>
    <row r="174" spans="2:7" ht="15.75" customHeight="1" x14ac:dyDescent="0.25">
      <c r="B174" s="23"/>
      <c r="C174" s="23"/>
      <c r="D174" s="23"/>
      <c r="E174" s="23"/>
      <c r="F174" s="24"/>
      <c r="G174" s="24"/>
    </row>
    <row r="175" spans="2:7" ht="15.75" customHeight="1" x14ac:dyDescent="0.25">
      <c r="B175" s="23"/>
      <c r="C175" s="23"/>
      <c r="D175" s="23"/>
      <c r="E175" s="23"/>
      <c r="F175" s="24"/>
      <c r="G175" s="24"/>
    </row>
    <row r="176" spans="2:7" ht="15.75" customHeight="1" x14ac:dyDescent="0.25">
      <c r="B176" s="23"/>
      <c r="C176" s="23"/>
      <c r="D176" s="23"/>
      <c r="E176" s="23"/>
      <c r="F176" s="24"/>
      <c r="G176" s="24"/>
    </row>
    <row r="177" spans="2:7" ht="15.75" customHeight="1" x14ac:dyDescent="0.25">
      <c r="B177" s="23"/>
      <c r="C177" s="23"/>
      <c r="D177" s="23"/>
      <c r="E177" s="23"/>
      <c r="F177" s="24"/>
      <c r="G177" s="24"/>
    </row>
    <row r="178" spans="2:7" ht="15.75" customHeight="1" x14ac:dyDescent="0.25">
      <c r="B178" s="23"/>
      <c r="C178" s="23"/>
      <c r="D178" s="23"/>
      <c r="E178" s="23"/>
      <c r="F178" s="24"/>
      <c r="G178" s="24"/>
    </row>
    <row r="179" spans="2:7" ht="15.75" customHeight="1" x14ac:dyDescent="0.25">
      <c r="B179" s="23"/>
      <c r="C179" s="23"/>
      <c r="D179" s="23"/>
      <c r="E179" s="23"/>
      <c r="F179" s="24"/>
      <c r="G179" s="24"/>
    </row>
    <row r="180" spans="2:7" ht="15.75" customHeight="1" x14ac:dyDescent="0.25">
      <c r="B180" s="23"/>
      <c r="C180" s="23"/>
      <c r="D180" s="23"/>
      <c r="E180" s="23"/>
      <c r="F180" s="24"/>
      <c r="G180" s="24"/>
    </row>
    <row r="181" spans="2:7" ht="15.75" customHeight="1" x14ac:dyDescent="0.25">
      <c r="B181" s="23"/>
      <c r="C181" s="23"/>
      <c r="D181" s="23"/>
      <c r="E181" s="23"/>
      <c r="F181" s="24"/>
      <c r="G181" s="24"/>
    </row>
    <row r="182" spans="2:7" ht="15.75" customHeight="1" x14ac:dyDescent="0.25">
      <c r="B182" s="23"/>
      <c r="C182" s="23"/>
      <c r="D182" s="23"/>
      <c r="E182" s="23"/>
      <c r="F182" s="24"/>
      <c r="G182" s="24"/>
    </row>
    <row r="183" spans="2:7" ht="15.75" customHeight="1" x14ac:dyDescent="0.25">
      <c r="B183" s="23"/>
      <c r="C183" s="23"/>
      <c r="D183" s="23"/>
      <c r="E183" s="23"/>
      <c r="F183" s="24"/>
      <c r="G183" s="24"/>
    </row>
    <row r="184" spans="2:7" ht="15.75" customHeight="1" x14ac:dyDescent="0.25">
      <c r="B184" s="23"/>
      <c r="C184" s="23"/>
      <c r="D184" s="23"/>
      <c r="E184" s="23"/>
      <c r="F184" s="24"/>
      <c r="G184" s="24"/>
    </row>
    <row r="185" spans="2:7" ht="15.75" customHeight="1" x14ac:dyDescent="0.25">
      <c r="B185" s="23"/>
      <c r="C185" s="23"/>
      <c r="D185" s="23"/>
      <c r="E185" s="23"/>
      <c r="F185" s="24"/>
      <c r="G185" s="24"/>
    </row>
    <row r="186" spans="2:7" ht="15.75" customHeight="1" x14ac:dyDescent="0.25">
      <c r="B186" s="23"/>
      <c r="C186" s="23"/>
      <c r="D186" s="23"/>
      <c r="E186" s="23"/>
      <c r="F186" s="24"/>
      <c r="G186" s="24"/>
    </row>
    <row r="187" spans="2:7" ht="15.75" customHeight="1" x14ac:dyDescent="0.25">
      <c r="B187" s="23"/>
      <c r="C187" s="23"/>
      <c r="D187" s="23"/>
      <c r="E187" s="23"/>
      <c r="F187" s="24"/>
      <c r="G187" s="24"/>
    </row>
    <row r="188" spans="2:7" ht="15.75" customHeight="1" x14ac:dyDescent="0.25">
      <c r="B188" s="23"/>
      <c r="C188" s="23"/>
      <c r="D188" s="23"/>
      <c r="E188" s="23"/>
      <c r="F188" s="24"/>
      <c r="G188" s="24"/>
    </row>
    <row r="189" spans="2:7" ht="15.75" customHeight="1" x14ac:dyDescent="0.25">
      <c r="B189" s="23"/>
      <c r="C189" s="23"/>
      <c r="D189" s="23"/>
      <c r="E189" s="23"/>
      <c r="F189" s="24"/>
      <c r="G189" s="24"/>
    </row>
    <row r="190" spans="2:7" ht="15.75" customHeight="1" x14ac:dyDescent="0.25">
      <c r="B190" s="23"/>
      <c r="C190" s="23"/>
      <c r="D190" s="23"/>
      <c r="E190" s="23"/>
      <c r="F190" s="24"/>
      <c r="G190" s="24"/>
    </row>
    <row r="191" spans="2:7" ht="15.75" customHeight="1" x14ac:dyDescent="0.25">
      <c r="B191" s="23"/>
      <c r="C191" s="23"/>
      <c r="D191" s="23"/>
      <c r="E191" s="23"/>
      <c r="F191" s="24"/>
      <c r="G191" s="24"/>
    </row>
    <row r="192" spans="2:7" ht="15.75" customHeight="1" x14ac:dyDescent="0.25">
      <c r="B192" s="23"/>
      <c r="C192" s="23"/>
      <c r="D192" s="23"/>
      <c r="E192" s="23"/>
      <c r="F192" s="24"/>
      <c r="G192" s="24"/>
    </row>
    <row r="193" spans="2:7" ht="15.75" customHeight="1" x14ac:dyDescent="0.25">
      <c r="B193" s="23"/>
      <c r="C193" s="23"/>
      <c r="D193" s="23"/>
      <c r="E193" s="23"/>
      <c r="F193" s="24"/>
      <c r="G193" s="24"/>
    </row>
    <row r="194" spans="2:7" ht="15.75" customHeight="1" x14ac:dyDescent="0.25">
      <c r="B194" s="23"/>
      <c r="C194" s="23"/>
      <c r="D194" s="23"/>
      <c r="E194" s="23"/>
      <c r="F194" s="24"/>
      <c r="G194" s="24"/>
    </row>
    <row r="195" spans="2:7" ht="15.75" customHeight="1" x14ac:dyDescent="0.25">
      <c r="B195" s="23"/>
      <c r="C195" s="23"/>
      <c r="D195" s="23"/>
      <c r="E195" s="23"/>
      <c r="F195" s="24"/>
      <c r="G195" s="24"/>
    </row>
    <row r="196" spans="2:7" ht="15.75" customHeight="1" x14ac:dyDescent="0.25">
      <c r="B196" s="23"/>
      <c r="C196" s="23"/>
      <c r="D196" s="23"/>
      <c r="E196" s="23"/>
      <c r="F196" s="24"/>
      <c r="G196" s="24"/>
    </row>
    <row r="197" spans="2:7" ht="15.75" customHeight="1" x14ac:dyDescent="0.25">
      <c r="B197" s="23"/>
      <c r="C197" s="23"/>
      <c r="D197" s="23"/>
      <c r="E197" s="23"/>
      <c r="F197" s="24"/>
      <c r="G197" s="24"/>
    </row>
    <row r="198" spans="2:7" ht="15.75" customHeight="1" x14ac:dyDescent="0.25">
      <c r="B198" s="23"/>
      <c r="C198" s="23"/>
      <c r="D198" s="23"/>
      <c r="E198" s="23"/>
      <c r="F198" s="24"/>
      <c r="G198" s="24"/>
    </row>
    <row r="199" spans="2:7" ht="15.75" customHeight="1" x14ac:dyDescent="0.25">
      <c r="B199" s="23"/>
      <c r="C199" s="23"/>
      <c r="D199" s="23"/>
      <c r="E199" s="23"/>
      <c r="F199" s="24"/>
      <c r="G199" s="24"/>
    </row>
    <row r="200" spans="2:7" ht="15.75" customHeight="1" x14ac:dyDescent="0.25">
      <c r="B200" s="23"/>
      <c r="C200" s="23"/>
      <c r="D200" s="23"/>
      <c r="E200" s="23"/>
      <c r="F200" s="24"/>
      <c r="G200" s="24"/>
    </row>
    <row r="201" spans="2:7" ht="15.75" customHeight="1" x14ac:dyDescent="0.25">
      <c r="B201" s="23"/>
      <c r="C201" s="23"/>
      <c r="D201" s="23"/>
      <c r="E201" s="23"/>
      <c r="F201" s="24"/>
      <c r="G201" s="24"/>
    </row>
    <row r="202" spans="2:7" ht="15.75" customHeight="1" x14ac:dyDescent="0.25">
      <c r="B202" s="23"/>
      <c r="C202" s="23"/>
      <c r="D202" s="23"/>
      <c r="E202" s="23"/>
      <c r="F202" s="24"/>
      <c r="G202" s="24"/>
    </row>
    <row r="203" spans="2:7" ht="15.75" customHeight="1" x14ac:dyDescent="0.25">
      <c r="B203" s="23"/>
      <c r="C203" s="23"/>
      <c r="D203" s="23"/>
      <c r="E203" s="23"/>
      <c r="F203" s="24"/>
      <c r="G203" s="24"/>
    </row>
    <row r="204" spans="2:7" ht="15.75" customHeight="1" x14ac:dyDescent="0.25">
      <c r="B204" s="23"/>
      <c r="C204" s="23"/>
      <c r="D204" s="23"/>
      <c r="E204" s="23"/>
      <c r="F204" s="24"/>
      <c r="G204" s="24"/>
    </row>
    <row r="205" spans="2:7" ht="15.75" customHeight="1" x14ac:dyDescent="0.25">
      <c r="B205" s="23"/>
      <c r="C205" s="23"/>
      <c r="D205" s="23"/>
      <c r="E205" s="23"/>
      <c r="F205" s="24"/>
      <c r="G205" s="24"/>
    </row>
    <row r="206" spans="2:7" ht="15.75" customHeight="1" x14ac:dyDescent="0.25">
      <c r="B206" s="23"/>
      <c r="C206" s="23"/>
      <c r="D206" s="23"/>
      <c r="E206" s="23"/>
      <c r="F206" s="24"/>
      <c r="G206" s="24"/>
    </row>
    <row r="207" spans="2:7" ht="15.75" customHeight="1" x14ac:dyDescent="0.25">
      <c r="B207" s="23"/>
      <c r="C207" s="23"/>
      <c r="D207" s="23"/>
      <c r="E207" s="23"/>
      <c r="F207" s="24"/>
      <c r="G207" s="24"/>
    </row>
    <row r="208" spans="2:7" ht="15.75" customHeight="1" x14ac:dyDescent="0.25">
      <c r="B208" s="23"/>
      <c r="C208" s="23"/>
      <c r="D208" s="23"/>
      <c r="E208" s="23"/>
      <c r="F208" s="24"/>
      <c r="G208" s="24"/>
    </row>
    <row r="209" spans="2:7" ht="15.75" customHeight="1" x14ac:dyDescent="0.25">
      <c r="B209" s="23"/>
      <c r="C209" s="23"/>
      <c r="D209" s="23"/>
      <c r="E209" s="23"/>
      <c r="F209" s="24"/>
      <c r="G209" s="24"/>
    </row>
    <row r="210" spans="2:7" ht="15.75" customHeight="1" x14ac:dyDescent="0.25">
      <c r="B210" s="23"/>
      <c r="C210" s="23"/>
      <c r="D210" s="23"/>
      <c r="E210" s="23"/>
      <c r="F210" s="24"/>
      <c r="G210" s="24"/>
    </row>
    <row r="211" spans="2:7" ht="15.75" customHeight="1" x14ac:dyDescent="0.25">
      <c r="B211" s="23"/>
      <c r="C211" s="23"/>
      <c r="D211" s="23"/>
      <c r="E211" s="23"/>
      <c r="F211" s="24"/>
      <c r="G211" s="24"/>
    </row>
    <row r="212" spans="2:7" ht="15.75" customHeight="1" x14ac:dyDescent="0.25">
      <c r="B212" s="23"/>
      <c r="C212" s="23"/>
      <c r="D212" s="23"/>
      <c r="E212" s="23"/>
      <c r="F212" s="24"/>
      <c r="G212" s="24"/>
    </row>
    <row r="213" spans="2:7" ht="15.75" customHeight="1" x14ac:dyDescent="0.25">
      <c r="B213" s="23"/>
      <c r="C213" s="23"/>
      <c r="D213" s="23"/>
      <c r="E213" s="23"/>
      <c r="F213" s="24"/>
      <c r="G213" s="24"/>
    </row>
    <row r="214" spans="2:7" ht="15.75" customHeight="1" x14ac:dyDescent="0.25">
      <c r="B214" s="23"/>
      <c r="C214" s="23"/>
      <c r="D214" s="23"/>
      <c r="E214" s="23"/>
      <c r="F214" s="24"/>
      <c r="G214" s="24"/>
    </row>
    <row r="215" spans="2:7" ht="15.75" customHeight="1" x14ac:dyDescent="0.25">
      <c r="B215" s="23"/>
      <c r="C215" s="23"/>
      <c r="D215" s="23"/>
      <c r="E215" s="23"/>
      <c r="F215" s="24"/>
      <c r="G215" s="24"/>
    </row>
    <row r="216" spans="2:7" ht="15.75" customHeight="1" x14ac:dyDescent="0.25">
      <c r="B216" s="23"/>
      <c r="C216" s="23"/>
      <c r="D216" s="23"/>
      <c r="E216" s="23"/>
      <c r="F216" s="24"/>
      <c r="G216" s="24"/>
    </row>
    <row r="217" spans="2:7" ht="15.75" customHeight="1" x14ac:dyDescent="0.25">
      <c r="B217" s="23"/>
      <c r="C217" s="23"/>
      <c r="D217" s="23"/>
      <c r="E217" s="23"/>
      <c r="F217" s="24"/>
      <c r="G217" s="24"/>
    </row>
    <row r="218" spans="2:7" ht="15.75" customHeight="1" x14ac:dyDescent="0.25">
      <c r="B218" s="23"/>
      <c r="C218" s="23"/>
      <c r="D218" s="23"/>
      <c r="E218" s="23"/>
      <c r="F218" s="24"/>
      <c r="G218" s="24"/>
    </row>
    <row r="219" spans="2:7" ht="15.75" customHeight="1" x14ac:dyDescent="0.25">
      <c r="B219" s="23"/>
      <c r="C219" s="23"/>
      <c r="D219" s="23"/>
      <c r="E219" s="23"/>
      <c r="F219" s="24"/>
      <c r="G219" s="24"/>
    </row>
    <row r="220" spans="2:7" ht="15.75" customHeight="1" x14ac:dyDescent="0.25">
      <c r="B220" s="23"/>
      <c r="C220" s="23"/>
      <c r="D220" s="23"/>
      <c r="E220" s="23"/>
      <c r="F220" s="24"/>
      <c r="G220" s="24"/>
    </row>
    <row r="221" spans="2:7" ht="15.75" customHeight="1" x14ac:dyDescent="0.25">
      <c r="B221" s="23"/>
      <c r="C221" s="23"/>
      <c r="D221" s="23"/>
      <c r="E221" s="23"/>
      <c r="F221" s="24"/>
      <c r="G221" s="24"/>
    </row>
    <row r="222" spans="2:7" ht="15.75" customHeight="1" x14ac:dyDescent="0.25">
      <c r="B222" s="23"/>
      <c r="C222" s="23"/>
      <c r="D222" s="23"/>
      <c r="E222" s="23"/>
      <c r="F222" s="24"/>
      <c r="G222" s="24"/>
    </row>
    <row r="223" spans="2:7" ht="15.75" customHeight="1" x14ac:dyDescent="0.25">
      <c r="B223" s="23"/>
      <c r="C223" s="23"/>
      <c r="D223" s="23"/>
      <c r="E223" s="23"/>
      <c r="F223" s="24"/>
      <c r="G223" s="24"/>
    </row>
    <row r="224" spans="2:7" ht="15.75" customHeight="1" x14ac:dyDescent="0.25">
      <c r="B224" s="23"/>
      <c r="C224" s="23"/>
      <c r="D224" s="23"/>
      <c r="E224" s="23"/>
      <c r="F224" s="24"/>
      <c r="G224" s="24"/>
    </row>
    <row r="225" spans="2:7" ht="15.75" customHeight="1" x14ac:dyDescent="0.25">
      <c r="B225" s="23"/>
      <c r="C225" s="23"/>
      <c r="D225" s="23"/>
      <c r="E225" s="23"/>
      <c r="F225" s="24"/>
      <c r="G225" s="24"/>
    </row>
    <row r="226" spans="2:7" ht="15.75" customHeight="1" x14ac:dyDescent="0.25">
      <c r="B226" s="23"/>
      <c r="C226" s="23"/>
      <c r="D226" s="23"/>
      <c r="E226" s="23"/>
      <c r="F226" s="24"/>
      <c r="G226" s="24"/>
    </row>
    <row r="227" spans="2:7" ht="15.75" customHeight="1" x14ac:dyDescent="0.25">
      <c r="B227" s="23"/>
      <c r="C227" s="23"/>
      <c r="D227" s="23"/>
      <c r="E227" s="23"/>
      <c r="F227" s="24"/>
      <c r="G227" s="24"/>
    </row>
    <row r="228" spans="2:7" ht="15.75" customHeight="1" x14ac:dyDescent="0.25">
      <c r="B228" s="23"/>
      <c r="C228" s="23"/>
      <c r="D228" s="23"/>
      <c r="E228" s="23"/>
      <c r="F228" s="24"/>
      <c r="G228" s="24"/>
    </row>
    <row r="229" spans="2:7" ht="15.75" customHeight="1" x14ac:dyDescent="0.25">
      <c r="B229" s="23"/>
      <c r="C229" s="23"/>
      <c r="D229" s="23"/>
      <c r="E229" s="23"/>
      <c r="F229" s="24"/>
      <c r="G229" s="24"/>
    </row>
    <row r="230" spans="2:7" ht="15.75" customHeight="1" x14ac:dyDescent="0.25">
      <c r="B230" s="23"/>
      <c r="C230" s="23"/>
      <c r="D230" s="23"/>
      <c r="E230" s="23"/>
      <c r="F230" s="24"/>
      <c r="G230" s="24"/>
    </row>
    <row r="231" spans="2:7" ht="15.75" customHeight="1" x14ac:dyDescent="0.25">
      <c r="B231" s="23"/>
      <c r="C231" s="23"/>
      <c r="D231" s="23"/>
      <c r="E231" s="23"/>
      <c r="F231" s="24"/>
      <c r="G231" s="24"/>
    </row>
    <row r="232" spans="2:7" ht="15.75" customHeight="1" x14ac:dyDescent="0.25">
      <c r="B232" s="23"/>
      <c r="C232" s="23"/>
      <c r="D232" s="23"/>
      <c r="E232" s="23"/>
      <c r="F232" s="24"/>
      <c r="G232" s="24"/>
    </row>
    <row r="233" spans="2:7" ht="15.75" customHeight="1" x14ac:dyDescent="0.25">
      <c r="B233" s="23"/>
      <c r="C233" s="23"/>
      <c r="D233" s="23"/>
      <c r="E233" s="23"/>
      <c r="F233" s="24"/>
      <c r="G233" s="24"/>
    </row>
    <row r="234" spans="2:7" ht="15.75" customHeight="1" x14ac:dyDescent="0.25">
      <c r="B234" s="23"/>
      <c r="C234" s="23"/>
      <c r="D234" s="23"/>
      <c r="E234" s="23"/>
      <c r="F234" s="24"/>
      <c r="G234" s="24"/>
    </row>
    <row r="235" spans="2:7" ht="15.75" customHeight="1" x14ac:dyDescent="0.25">
      <c r="B235" s="23"/>
      <c r="C235" s="23"/>
      <c r="D235" s="23"/>
      <c r="E235" s="23"/>
      <c r="F235" s="24"/>
      <c r="G235" s="24"/>
    </row>
    <row r="236" spans="2:7" ht="15.75" customHeight="1" x14ac:dyDescent="0.25">
      <c r="B236" s="23"/>
      <c r="C236" s="23"/>
      <c r="D236" s="23"/>
      <c r="E236" s="23"/>
      <c r="F236" s="24"/>
      <c r="G236" s="24"/>
    </row>
    <row r="237" spans="2:7" ht="15.75" customHeight="1" x14ac:dyDescent="0.25">
      <c r="B237" s="23"/>
      <c r="C237" s="23"/>
      <c r="D237" s="23"/>
      <c r="E237" s="23"/>
      <c r="F237" s="24"/>
      <c r="G237" s="24"/>
    </row>
    <row r="238" spans="2:7" ht="15.75" customHeight="1" x14ac:dyDescent="0.25">
      <c r="B238" s="23"/>
      <c r="C238" s="23"/>
      <c r="D238" s="23"/>
      <c r="E238" s="23"/>
      <c r="F238" s="24"/>
      <c r="G238" s="24"/>
    </row>
    <row r="239" spans="2:7" ht="15.75" customHeight="1" x14ac:dyDescent="0.25">
      <c r="B239" s="23"/>
      <c r="C239" s="23"/>
      <c r="D239" s="23"/>
      <c r="E239" s="23"/>
      <c r="F239" s="24"/>
      <c r="G239" s="24"/>
    </row>
    <row r="240" spans="2:7" ht="15.75" customHeight="1" x14ac:dyDescent="0.25">
      <c r="B240" s="23"/>
      <c r="C240" s="23"/>
      <c r="D240" s="23"/>
      <c r="E240" s="23"/>
      <c r="F240" s="24"/>
      <c r="G240" s="24"/>
    </row>
    <row r="241" spans="2:7" ht="15.75" customHeight="1" x14ac:dyDescent="0.25">
      <c r="B241" s="23"/>
      <c r="C241" s="23"/>
      <c r="D241" s="23"/>
      <c r="E241" s="23"/>
      <c r="F241" s="24"/>
      <c r="G241" s="24"/>
    </row>
    <row r="242" spans="2:7" ht="15.75" customHeight="1" x14ac:dyDescent="0.25">
      <c r="B242" s="23"/>
      <c r="C242" s="23"/>
      <c r="D242" s="23"/>
      <c r="E242" s="23"/>
      <c r="F242" s="24"/>
      <c r="G242" s="24"/>
    </row>
    <row r="243" spans="2:7" ht="15.75" customHeight="1" x14ac:dyDescent="0.25">
      <c r="B243" s="23"/>
      <c r="C243" s="23"/>
      <c r="D243" s="23"/>
      <c r="E243" s="23"/>
      <c r="F243" s="24"/>
      <c r="G243" s="24"/>
    </row>
    <row r="244" spans="2:7" ht="15.75" customHeight="1" x14ac:dyDescent="0.25">
      <c r="B244" s="23"/>
      <c r="C244" s="23"/>
      <c r="D244" s="23"/>
      <c r="E244" s="23"/>
      <c r="F244" s="24"/>
      <c r="G244" s="24"/>
    </row>
    <row r="245" spans="2:7" ht="15.75" customHeight="1" x14ac:dyDescent="0.25">
      <c r="B245" s="23"/>
      <c r="C245" s="23"/>
      <c r="D245" s="23"/>
      <c r="E245" s="23"/>
      <c r="F245" s="24"/>
      <c r="G245" s="24"/>
    </row>
    <row r="246" spans="2:7" ht="15.75" customHeight="1" x14ac:dyDescent="0.25">
      <c r="B246" s="23"/>
      <c r="C246" s="23"/>
      <c r="D246" s="23"/>
      <c r="E246" s="23"/>
      <c r="F246" s="24"/>
      <c r="G246" s="24"/>
    </row>
    <row r="247" spans="2:7" ht="15.75" customHeight="1" x14ac:dyDescent="0.25">
      <c r="B247" s="23"/>
      <c r="C247" s="23"/>
      <c r="D247" s="23"/>
      <c r="E247" s="23"/>
      <c r="F247" s="24"/>
      <c r="G247" s="24"/>
    </row>
    <row r="248" spans="2:7" ht="15.75" customHeight="1" x14ac:dyDescent="0.25">
      <c r="B248" s="23"/>
      <c r="C248" s="23"/>
      <c r="D248" s="23"/>
      <c r="E248" s="23"/>
      <c r="F248" s="24"/>
      <c r="G248" s="24"/>
    </row>
    <row r="249" spans="2:7" ht="15.75" customHeight="1" x14ac:dyDescent="0.25">
      <c r="B249" s="23"/>
      <c r="C249" s="23"/>
      <c r="D249" s="23"/>
      <c r="E249" s="23"/>
      <c r="F249" s="24"/>
      <c r="G249" s="24"/>
    </row>
    <row r="250" spans="2:7" ht="15.75" customHeight="1" x14ac:dyDescent="0.25">
      <c r="B250" s="23"/>
      <c r="C250" s="23"/>
      <c r="D250" s="23"/>
      <c r="E250" s="23"/>
      <c r="F250" s="24"/>
      <c r="G250" s="24"/>
    </row>
    <row r="251" spans="2:7" ht="15.75" customHeight="1" x14ac:dyDescent="0.25">
      <c r="B251" s="23"/>
      <c r="C251" s="23"/>
      <c r="D251" s="23"/>
      <c r="E251" s="23"/>
      <c r="F251" s="24"/>
      <c r="G251" s="24"/>
    </row>
    <row r="252" spans="2:7" ht="15.75" customHeight="1" x14ac:dyDescent="0.25">
      <c r="B252" s="23"/>
      <c r="C252" s="23"/>
      <c r="D252" s="23"/>
      <c r="E252" s="23"/>
      <c r="F252" s="24"/>
      <c r="G252" s="24"/>
    </row>
    <row r="253" spans="2:7" ht="15.75" customHeight="1" x14ac:dyDescent="0.25">
      <c r="B253" s="23"/>
      <c r="C253" s="23"/>
      <c r="D253" s="23"/>
      <c r="E253" s="23"/>
      <c r="F253" s="24"/>
      <c r="G253" s="24"/>
    </row>
    <row r="254" spans="2:7" ht="15.75" customHeight="1" x14ac:dyDescent="0.25">
      <c r="B254" s="23"/>
      <c r="C254" s="23"/>
      <c r="D254" s="23"/>
      <c r="E254" s="23"/>
      <c r="F254" s="24"/>
      <c r="G254" s="24"/>
    </row>
    <row r="255" spans="2:7" ht="15.75" customHeight="1" x14ac:dyDescent="0.25">
      <c r="B255" s="23"/>
      <c r="C255" s="23"/>
      <c r="D255" s="23"/>
      <c r="E255" s="23"/>
      <c r="F255" s="24"/>
      <c r="G255" s="24"/>
    </row>
    <row r="256" spans="2:7" ht="15.75" customHeight="1" x14ac:dyDescent="0.25">
      <c r="B256" s="23"/>
      <c r="C256" s="23"/>
      <c r="D256" s="23"/>
      <c r="E256" s="23"/>
      <c r="F256" s="24"/>
      <c r="G256" s="24"/>
    </row>
    <row r="257" spans="2:7" ht="15.75" customHeight="1" x14ac:dyDescent="0.25">
      <c r="B257" s="23"/>
      <c r="C257" s="23"/>
      <c r="D257" s="23"/>
      <c r="E257" s="23"/>
      <c r="F257" s="24"/>
      <c r="G257" s="24"/>
    </row>
    <row r="258" spans="2:7" ht="15.75" customHeight="1" x14ac:dyDescent="0.25">
      <c r="B258" s="23"/>
      <c r="C258" s="23"/>
      <c r="D258" s="23"/>
      <c r="E258" s="23"/>
      <c r="F258" s="24"/>
      <c r="G258" s="24"/>
    </row>
    <row r="259" spans="2:7" ht="15.75" customHeight="1" x14ac:dyDescent="0.25">
      <c r="B259" s="23"/>
      <c r="C259" s="23"/>
      <c r="D259" s="23"/>
      <c r="E259" s="23"/>
      <c r="F259" s="24"/>
      <c r="G259" s="24"/>
    </row>
    <row r="260" spans="2:7" ht="15.75" customHeight="1" x14ac:dyDescent="0.25">
      <c r="B260" s="23"/>
      <c r="C260" s="23"/>
      <c r="D260" s="23"/>
      <c r="E260" s="23"/>
      <c r="F260" s="24"/>
      <c r="G260" s="24"/>
    </row>
    <row r="261" spans="2:7" ht="15.75" customHeight="1" x14ac:dyDescent="0.25">
      <c r="B261" s="23"/>
      <c r="C261" s="23"/>
      <c r="D261" s="23"/>
      <c r="E261" s="23"/>
      <c r="F261" s="24"/>
      <c r="G261" s="24"/>
    </row>
    <row r="262" spans="2:7" ht="15.75" customHeight="1" x14ac:dyDescent="0.25">
      <c r="B262" s="23"/>
      <c r="C262" s="23"/>
      <c r="D262" s="23"/>
      <c r="E262" s="23"/>
      <c r="F262" s="24"/>
      <c r="G262" s="24"/>
    </row>
    <row r="263" spans="2:7" ht="15.75" customHeight="1" x14ac:dyDescent="0.25">
      <c r="B263" s="23"/>
      <c r="C263" s="23"/>
      <c r="D263" s="23"/>
      <c r="E263" s="23"/>
      <c r="F263" s="24"/>
      <c r="G263" s="24"/>
    </row>
    <row r="264" spans="2:7" ht="15.75" customHeight="1" x14ac:dyDescent="0.25">
      <c r="B264" s="23"/>
      <c r="C264" s="23"/>
      <c r="D264" s="23"/>
      <c r="E264" s="23"/>
      <c r="F264" s="24"/>
      <c r="G264" s="24"/>
    </row>
    <row r="265" spans="2:7" ht="15.75" customHeight="1" x14ac:dyDescent="0.25">
      <c r="B265" s="23"/>
      <c r="C265" s="23"/>
      <c r="D265" s="23"/>
      <c r="E265" s="23"/>
      <c r="F265" s="24"/>
      <c r="G265" s="24"/>
    </row>
    <row r="266" spans="2:7" ht="15.75" customHeight="1" x14ac:dyDescent="0.25">
      <c r="B266" s="23"/>
      <c r="C266" s="23"/>
      <c r="D266" s="23"/>
      <c r="E266" s="23"/>
      <c r="F266" s="24"/>
      <c r="G266" s="24"/>
    </row>
    <row r="267" spans="2:7" ht="15.75" customHeight="1" x14ac:dyDescent="0.25">
      <c r="B267" s="23"/>
      <c r="C267" s="23"/>
      <c r="D267" s="23"/>
      <c r="E267" s="23"/>
      <c r="F267" s="24"/>
      <c r="G267" s="24"/>
    </row>
    <row r="268" spans="2:7" ht="15.75" customHeight="1" x14ac:dyDescent="0.25">
      <c r="B268" s="23"/>
      <c r="C268" s="23"/>
      <c r="D268" s="23"/>
      <c r="E268" s="23"/>
      <c r="F268" s="24"/>
      <c r="G268" s="24"/>
    </row>
    <row r="269" spans="2:7" ht="15.75" customHeight="1" x14ac:dyDescent="0.25">
      <c r="B269" s="23"/>
      <c r="C269" s="23"/>
      <c r="D269" s="23"/>
      <c r="E269" s="23"/>
      <c r="F269" s="24"/>
      <c r="G269" s="24"/>
    </row>
    <row r="270" spans="2:7" ht="15.75" customHeight="1" x14ac:dyDescent="0.25">
      <c r="B270" s="23"/>
      <c r="C270" s="23"/>
      <c r="D270" s="23"/>
      <c r="E270" s="23"/>
      <c r="F270" s="24"/>
      <c r="G270" s="24"/>
    </row>
    <row r="271" spans="2:7" ht="15.75" customHeight="1" x14ac:dyDescent="0.25">
      <c r="B271" s="23"/>
      <c r="C271" s="23"/>
      <c r="D271" s="23"/>
      <c r="E271" s="23"/>
      <c r="F271" s="24"/>
      <c r="G271" s="24"/>
    </row>
    <row r="272" spans="2:7" ht="15.75" customHeight="1" x14ac:dyDescent="0.25">
      <c r="B272" s="23"/>
      <c r="C272" s="23"/>
      <c r="D272" s="23"/>
      <c r="E272" s="23"/>
      <c r="F272" s="24"/>
      <c r="G272" s="24"/>
    </row>
    <row r="273" spans="2:7" ht="15.75" customHeight="1" x14ac:dyDescent="0.25">
      <c r="B273" s="23"/>
      <c r="C273" s="23"/>
      <c r="D273" s="23"/>
      <c r="E273" s="23"/>
      <c r="F273" s="24"/>
      <c r="G273" s="24"/>
    </row>
    <row r="274" spans="2:7" ht="15.75" customHeight="1" x14ac:dyDescent="0.25">
      <c r="B274" s="23"/>
      <c r="C274" s="23"/>
      <c r="D274" s="23"/>
      <c r="E274" s="23"/>
      <c r="F274" s="24"/>
      <c r="G274" s="24"/>
    </row>
    <row r="275" spans="2:7" ht="15.75" customHeight="1" x14ac:dyDescent="0.25">
      <c r="B275" s="23"/>
      <c r="C275" s="23"/>
      <c r="D275" s="23"/>
      <c r="E275" s="23"/>
      <c r="F275" s="24"/>
      <c r="G275" s="24"/>
    </row>
    <row r="276" spans="2:7" ht="15.75" customHeight="1" x14ac:dyDescent="0.25">
      <c r="B276" s="23"/>
      <c r="C276" s="23"/>
      <c r="D276" s="23"/>
      <c r="E276" s="23"/>
      <c r="F276" s="24"/>
      <c r="G276" s="24"/>
    </row>
    <row r="277" spans="2:7" ht="15.75" customHeight="1" x14ac:dyDescent="0.25">
      <c r="B277" s="23"/>
      <c r="C277" s="23"/>
      <c r="D277" s="23"/>
      <c r="E277" s="23"/>
      <c r="F277" s="24"/>
      <c r="G277" s="24"/>
    </row>
    <row r="278" spans="2:7" ht="15.75" customHeight="1" x14ac:dyDescent="0.25">
      <c r="B278" s="23"/>
      <c r="C278" s="23"/>
      <c r="D278" s="23"/>
      <c r="E278" s="23"/>
      <c r="F278" s="24"/>
      <c r="G278" s="24"/>
    </row>
    <row r="279" spans="2:7" ht="15.75" customHeight="1" x14ac:dyDescent="0.25">
      <c r="B279" s="23"/>
      <c r="C279" s="23"/>
      <c r="D279" s="23"/>
      <c r="E279" s="23"/>
      <c r="F279" s="24"/>
      <c r="G279" s="24"/>
    </row>
    <row r="280" spans="2:7" ht="15.75" customHeight="1" x14ac:dyDescent="0.25">
      <c r="B280" s="23"/>
      <c r="C280" s="23"/>
      <c r="D280" s="23"/>
      <c r="E280" s="23"/>
      <c r="F280" s="24"/>
      <c r="G280" s="24"/>
    </row>
    <row r="281" spans="2:7" ht="15.75" customHeight="1" x14ac:dyDescent="0.25">
      <c r="B281" s="23"/>
      <c r="C281" s="23"/>
      <c r="D281" s="23"/>
      <c r="E281" s="23"/>
      <c r="F281" s="24"/>
      <c r="G281" s="24"/>
    </row>
    <row r="282" spans="2:7" ht="15.75" customHeight="1" x14ac:dyDescent="0.25">
      <c r="B282" s="23"/>
      <c r="C282" s="23"/>
      <c r="D282" s="23"/>
      <c r="E282" s="23"/>
      <c r="F282" s="24"/>
      <c r="G282" s="24"/>
    </row>
    <row r="283" spans="2:7" ht="15.75" customHeight="1" x14ac:dyDescent="0.25">
      <c r="B283" s="23"/>
      <c r="C283" s="23"/>
      <c r="D283" s="23"/>
      <c r="E283" s="23"/>
      <c r="F283" s="24"/>
      <c r="G283" s="24"/>
    </row>
    <row r="284" spans="2:7" ht="15.75" customHeight="1" x14ac:dyDescent="0.25">
      <c r="B284" s="23"/>
      <c r="C284" s="23"/>
      <c r="D284" s="23"/>
      <c r="E284" s="23"/>
      <c r="F284" s="24"/>
      <c r="G284" s="24"/>
    </row>
    <row r="285" spans="2:7" ht="15.75" customHeight="1" x14ac:dyDescent="0.25">
      <c r="B285" s="23"/>
      <c r="C285" s="23"/>
      <c r="D285" s="23"/>
      <c r="E285" s="23"/>
      <c r="F285" s="24"/>
      <c r="G285" s="24"/>
    </row>
    <row r="286" spans="2:7" ht="15.75" customHeight="1" x14ac:dyDescent="0.25">
      <c r="B286" s="23"/>
      <c r="C286" s="23"/>
      <c r="D286" s="23"/>
      <c r="E286" s="23"/>
      <c r="F286" s="24"/>
      <c r="G286" s="24"/>
    </row>
    <row r="287" spans="2:7" ht="15.75" customHeight="1" x14ac:dyDescent="0.25">
      <c r="B287" s="23"/>
      <c r="C287" s="23"/>
      <c r="D287" s="23"/>
      <c r="E287" s="23"/>
      <c r="F287" s="24"/>
      <c r="G287" s="24"/>
    </row>
    <row r="288" spans="2:7" ht="15.75" customHeight="1" x14ac:dyDescent="0.25">
      <c r="B288" s="23"/>
      <c r="C288" s="23"/>
      <c r="D288" s="23"/>
      <c r="E288" s="23"/>
      <c r="F288" s="24"/>
      <c r="G288" s="24"/>
    </row>
    <row r="289" spans="2:7" ht="15.75" customHeight="1" x14ac:dyDescent="0.25">
      <c r="B289" s="23"/>
      <c r="C289" s="23"/>
      <c r="D289" s="23"/>
      <c r="E289" s="23"/>
      <c r="F289" s="24"/>
      <c r="G289" s="24"/>
    </row>
    <row r="290" spans="2:7" ht="15.75" customHeight="1" x14ac:dyDescent="0.25">
      <c r="B290" s="23"/>
      <c r="C290" s="23"/>
      <c r="D290" s="23"/>
      <c r="E290" s="23"/>
      <c r="F290" s="24"/>
      <c r="G290" s="24"/>
    </row>
    <row r="291" spans="2:7" ht="15.75" customHeight="1" x14ac:dyDescent="0.25">
      <c r="B291" s="23"/>
      <c r="C291" s="23"/>
      <c r="D291" s="23"/>
      <c r="E291" s="23"/>
      <c r="F291" s="24"/>
      <c r="G291" s="24"/>
    </row>
    <row r="292" spans="2:7" ht="15.75" customHeight="1" x14ac:dyDescent="0.25">
      <c r="B292" s="23"/>
      <c r="C292" s="23"/>
      <c r="D292" s="23"/>
      <c r="E292" s="23"/>
      <c r="F292" s="24"/>
      <c r="G292" s="24"/>
    </row>
    <row r="293" spans="2:7" ht="15.75" customHeight="1" x14ac:dyDescent="0.25">
      <c r="B293" s="23"/>
      <c r="C293" s="23"/>
      <c r="D293" s="23"/>
      <c r="E293" s="23"/>
      <c r="F293" s="24"/>
      <c r="G293" s="24"/>
    </row>
    <row r="294" spans="2:7" ht="15.75" customHeight="1" x14ac:dyDescent="0.25">
      <c r="B294" s="23"/>
      <c r="C294" s="23"/>
      <c r="D294" s="23"/>
      <c r="E294" s="23"/>
      <c r="F294" s="24"/>
      <c r="G294" s="24"/>
    </row>
    <row r="295" spans="2:7" ht="15.75" customHeight="1" x14ac:dyDescent="0.25">
      <c r="B295" s="23"/>
      <c r="C295" s="23"/>
      <c r="D295" s="23"/>
      <c r="E295" s="23"/>
      <c r="F295" s="24"/>
      <c r="G295" s="24"/>
    </row>
    <row r="296" spans="2:7" ht="15.75" customHeight="1" x14ac:dyDescent="0.25">
      <c r="B296" s="23"/>
      <c r="C296" s="23"/>
      <c r="D296" s="23"/>
      <c r="E296" s="23"/>
      <c r="F296" s="24"/>
      <c r="G296" s="24"/>
    </row>
    <row r="297" spans="2:7" ht="15.75" customHeight="1" x14ac:dyDescent="0.25">
      <c r="B297" s="23"/>
      <c r="C297" s="23"/>
      <c r="D297" s="23"/>
      <c r="E297" s="23"/>
      <c r="F297" s="24"/>
      <c r="G297" s="24"/>
    </row>
    <row r="298" spans="2:7" ht="15.75" customHeight="1" x14ac:dyDescent="0.25">
      <c r="B298" s="23"/>
      <c r="C298" s="23"/>
      <c r="D298" s="23"/>
      <c r="E298" s="23"/>
      <c r="F298" s="24"/>
      <c r="G298" s="24"/>
    </row>
    <row r="299" spans="2:7" ht="15.75" customHeight="1" x14ac:dyDescent="0.25">
      <c r="B299" s="23"/>
      <c r="C299" s="23"/>
      <c r="D299" s="23"/>
      <c r="E299" s="23"/>
      <c r="F299" s="24"/>
      <c r="G299" s="24"/>
    </row>
    <row r="300" spans="2:7" ht="15.75" customHeight="1" x14ac:dyDescent="0.25">
      <c r="B300" s="23"/>
      <c r="C300" s="23"/>
      <c r="D300" s="23"/>
      <c r="E300" s="23"/>
      <c r="F300" s="24"/>
      <c r="G300" s="24"/>
    </row>
    <row r="301" spans="2:7" ht="15.75" customHeight="1" x14ac:dyDescent="0.25">
      <c r="B301" s="23"/>
      <c r="C301" s="23"/>
      <c r="D301" s="23"/>
      <c r="E301" s="23"/>
      <c r="F301" s="24"/>
      <c r="G301" s="24"/>
    </row>
    <row r="302" spans="2:7" ht="15.75" customHeight="1" x14ac:dyDescent="0.25">
      <c r="B302" s="23"/>
      <c r="C302" s="23"/>
      <c r="D302" s="23"/>
      <c r="E302" s="23"/>
      <c r="F302" s="24"/>
      <c r="G302" s="24"/>
    </row>
    <row r="303" spans="2:7" ht="15.75" customHeight="1" x14ac:dyDescent="0.25">
      <c r="B303" s="23"/>
      <c r="C303" s="23"/>
      <c r="D303" s="23"/>
      <c r="E303" s="23"/>
      <c r="F303" s="24"/>
      <c r="G303" s="24"/>
    </row>
    <row r="304" spans="2:7" ht="15.75" customHeight="1" x14ac:dyDescent="0.25">
      <c r="B304" s="23"/>
      <c r="C304" s="23"/>
      <c r="D304" s="23"/>
      <c r="E304" s="23"/>
      <c r="F304" s="24"/>
      <c r="G304" s="24"/>
    </row>
    <row r="305" spans="2:7" ht="15.75" customHeight="1" x14ac:dyDescent="0.25">
      <c r="B305" s="23"/>
      <c r="C305" s="23"/>
      <c r="D305" s="23"/>
      <c r="E305" s="23"/>
      <c r="F305" s="24"/>
      <c r="G305" s="24"/>
    </row>
    <row r="306" spans="2:7" ht="15.75" customHeight="1" x14ac:dyDescent="0.25">
      <c r="B306" s="23"/>
      <c r="C306" s="23"/>
      <c r="D306" s="23"/>
      <c r="E306" s="23"/>
      <c r="F306" s="24"/>
      <c r="G306" s="24"/>
    </row>
    <row r="307" spans="2:7" ht="15.75" customHeight="1" x14ac:dyDescent="0.25">
      <c r="B307" s="23"/>
      <c r="C307" s="23"/>
      <c r="D307" s="23"/>
      <c r="E307" s="23"/>
      <c r="F307" s="24"/>
      <c r="G307" s="24"/>
    </row>
    <row r="308" spans="2:7" ht="15.75" customHeight="1" x14ac:dyDescent="0.25">
      <c r="B308" s="23"/>
      <c r="C308" s="23"/>
      <c r="D308" s="23"/>
      <c r="E308" s="23"/>
      <c r="F308" s="24"/>
      <c r="G308" s="24"/>
    </row>
    <row r="309" spans="2:7" ht="15.75" customHeight="1" x14ac:dyDescent="0.25">
      <c r="B309" s="23"/>
      <c r="C309" s="23"/>
      <c r="D309" s="23"/>
      <c r="E309" s="23"/>
      <c r="F309" s="24"/>
      <c r="G309" s="24"/>
    </row>
    <row r="310" spans="2:7" ht="15.75" customHeight="1" x14ac:dyDescent="0.25">
      <c r="B310" s="23"/>
      <c r="C310" s="23"/>
      <c r="D310" s="23"/>
      <c r="E310" s="23"/>
      <c r="F310" s="24"/>
      <c r="G310" s="24"/>
    </row>
    <row r="311" spans="2:7" ht="15.75" customHeight="1" x14ac:dyDescent="0.25">
      <c r="B311" s="23"/>
      <c r="C311" s="23"/>
      <c r="D311" s="23"/>
      <c r="E311" s="23"/>
      <c r="F311" s="24"/>
      <c r="G311" s="24"/>
    </row>
    <row r="312" spans="2:7" ht="15.75" customHeight="1" x14ac:dyDescent="0.25">
      <c r="B312" s="23"/>
      <c r="C312" s="23"/>
      <c r="D312" s="23"/>
      <c r="E312" s="23"/>
      <c r="F312" s="24"/>
      <c r="G312" s="24"/>
    </row>
    <row r="313" spans="2:7" ht="15.75" customHeight="1" x14ac:dyDescent="0.25">
      <c r="B313" s="23"/>
      <c r="C313" s="23"/>
      <c r="D313" s="23"/>
      <c r="E313" s="23"/>
      <c r="F313" s="24"/>
      <c r="G313" s="24"/>
    </row>
    <row r="314" spans="2:7" ht="15.75" customHeight="1" x14ac:dyDescent="0.25">
      <c r="B314" s="23"/>
      <c r="C314" s="23"/>
      <c r="D314" s="23"/>
      <c r="E314" s="23"/>
      <c r="F314" s="24"/>
      <c r="G314" s="24"/>
    </row>
    <row r="315" spans="2:7" ht="15.75" customHeight="1" x14ac:dyDescent="0.25">
      <c r="B315" s="23"/>
      <c r="C315" s="23"/>
      <c r="D315" s="23"/>
      <c r="E315" s="23"/>
      <c r="F315" s="24"/>
      <c r="G315" s="24"/>
    </row>
    <row r="316" spans="2:7" ht="15.75" customHeight="1" x14ac:dyDescent="0.25">
      <c r="B316" s="23"/>
      <c r="C316" s="23"/>
      <c r="D316" s="23"/>
      <c r="E316" s="23"/>
      <c r="F316" s="24"/>
      <c r="G316" s="24"/>
    </row>
    <row r="317" spans="2:7" ht="15.75" customHeight="1" x14ac:dyDescent="0.25">
      <c r="B317" s="23"/>
      <c r="C317" s="23"/>
      <c r="D317" s="23"/>
      <c r="E317" s="23"/>
      <c r="F317" s="24"/>
      <c r="G317" s="24"/>
    </row>
    <row r="318" spans="2:7" ht="15.75" customHeight="1" x14ac:dyDescent="0.25">
      <c r="B318" s="23"/>
      <c r="C318" s="23"/>
      <c r="D318" s="23"/>
      <c r="E318" s="23"/>
      <c r="F318" s="24"/>
      <c r="G318" s="24"/>
    </row>
    <row r="319" spans="2:7" ht="15.75" customHeight="1" x14ac:dyDescent="0.25">
      <c r="B319" s="23"/>
      <c r="C319" s="23"/>
      <c r="D319" s="23"/>
      <c r="E319" s="23"/>
      <c r="F319" s="24"/>
      <c r="G319" s="24"/>
    </row>
    <row r="320" spans="2:7" ht="15.75" customHeight="1" x14ac:dyDescent="0.25">
      <c r="B320" s="23"/>
      <c r="C320" s="23"/>
      <c r="D320" s="23"/>
      <c r="E320" s="23"/>
      <c r="F320" s="24"/>
      <c r="G320" s="24"/>
    </row>
    <row r="321" spans="2:7" ht="15.75" customHeight="1" x14ac:dyDescent="0.25">
      <c r="B321" s="23"/>
      <c r="C321" s="23"/>
      <c r="D321" s="23"/>
      <c r="E321" s="23"/>
      <c r="F321" s="24"/>
      <c r="G321" s="24"/>
    </row>
    <row r="322" spans="2:7" ht="15.75" customHeight="1" x14ac:dyDescent="0.25">
      <c r="B322" s="23"/>
      <c r="C322" s="23"/>
      <c r="D322" s="23"/>
      <c r="E322" s="23"/>
      <c r="F322" s="24"/>
      <c r="G322" s="24"/>
    </row>
    <row r="323" spans="2:7" ht="15.75" customHeight="1" x14ac:dyDescent="0.25">
      <c r="B323" s="23"/>
      <c r="C323" s="23"/>
      <c r="D323" s="23"/>
      <c r="E323" s="23"/>
      <c r="F323" s="24"/>
      <c r="G323" s="24"/>
    </row>
    <row r="324" spans="2:7" ht="15.75" customHeight="1" x14ac:dyDescent="0.25">
      <c r="B324" s="23"/>
      <c r="C324" s="23"/>
      <c r="D324" s="23"/>
      <c r="E324" s="23"/>
      <c r="F324" s="24"/>
      <c r="G324" s="24"/>
    </row>
    <row r="325" spans="2:7" ht="15.75" customHeight="1" x14ac:dyDescent="0.25">
      <c r="B325" s="23"/>
      <c r="C325" s="23"/>
      <c r="D325" s="23"/>
      <c r="E325" s="23"/>
      <c r="F325" s="24"/>
      <c r="G325" s="24"/>
    </row>
    <row r="326" spans="2:7" ht="15.75" customHeight="1" x14ac:dyDescent="0.25">
      <c r="B326" s="23"/>
      <c r="C326" s="23"/>
      <c r="D326" s="23"/>
      <c r="E326" s="23"/>
      <c r="F326" s="24"/>
      <c r="G326" s="24"/>
    </row>
    <row r="327" spans="2:7" ht="15.75" customHeight="1" x14ac:dyDescent="0.25">
      <c r="B327" s="23"/>
      <c r="C327" s="23"/>
      <c r="D327" s="23"/>
      <c r="E327" s="23"/>
      <c r="F327" s="24"/>
      <c r="G327" s="24"/>
    </row>
    <row r="328" spans="2:7" ht="15.75" customHeight="1" x14ac:dyDescent="0.25">
      <c r="B328" s="23"/>
      <c r="C328" s="23"/>
      <c r="D328" s="23"/>
      <c r="E328" s="23"/>
      <c r="F328" s="24"/>
      <c r="G328" s="24"/>
    </row>
    <row r="329" spans="2:7" ht="15.75" customHeight="1" x14ac:dyDescent="0.25">
      <c r="B329" s="23"/>
      <c r="C329" s="23"/>
      <c r="D329" s="23"/>
      <c r="E329" s="23"/>
      <c r="F329" s="24"/>
      <c r="G329" s="24"/>
    </row>
    <row r="330" spans="2:7" ht="15.75" customHeight="1" x14ac:dyDescent="0.25">
      <c r="B330" s="23"/>
      <c r="C330" s="23"/>
      <c r="D330" s="23"/>
      <c r="E330" s="23"/>
      <c r="F330" s="24"/>
      <c r="G330" s="24"/>
    </row>
    <row r="331" spans="2:7" ht="15.75" customHeight="1" x14ac:dyDescent="0.25">
      <c r="B331" s="23"/>
      <c r="C331" s="23"/>
      <c r="D331" s="23"/>
      <c r="E331" s="23"/>
      <c r="F331" s="24"/>
      <c r="G331" s="24"/>
    </row>
    <row r="332" spans="2:7" ht="15.75" customHeight="1" x14ac:dyDescent="0.25">
      <c r="B332" s="23"/>
      <c r="C332" s="23"/>
      <c r="D332" s="23"/>
      <c r="E332" s="23"/>
      <c r="F332" s="24"/>
      <c r="G332" s="24"/>
    </row>
    <row r="333" spans="2:7" ht="15.75" customHeight="1" x14ac:dyDescent="0.25">
      <c r="B333" s="23"/>
      <c r="C333" s="23"/>
      <c r="D333" s="23"/>
      <c r="E333" s="23"/>
      <c r="F333" s="24"/>
      <c r="G333" s="24"/>
    </row>
    <row r="334" spans="2:7" ht="15.75" customHeight="1" x14ac:dyDescent="0.25">
      <c r="B334" s="23"/>
      <c r="C334" s="23"/>
      <c r="D334" s="23"/>
      <c r="E334" s="23"/>
      <c r="F334" s="24"/>
      <c r="G334" s="24"/>
    </row>
    <row r="335" spans="2:7" ht="15.75" customHeight="1" x14ac:dyDescent="0.25">
      <c r="B335" s="23"/>
      <c r="C335" s="23"/>
      <c r="D335" s="23"/>
      <c r="E335" s="23"/>
      <c r="F335" s="24"/>
      <c r="G335" s="24"/>
    </row>
    <row r="336" spans="2:7" ht="15.75" customHeight="1" x14ac:dyDescent="0.25">
      <c r="B336" s="23"/>
      <c r="C336" s="23"/>
      <c r="D336" s="23"/>
      <c r="E336" s="23"/>
      <c r="F336" s="24"/>
      <c r="G336" s="24"/>
    </row>
    <row r="337" spans="2:7" ht="15.75" customHeight="1" x14ac:dyDescent="0.25">
      <c r="B337" s="23"/>
      <c r="C337" s="23"/>
      <c r="D337" s="23"/>
      <c r="E337" s="23"/>
      <c r="F337" s="24"/>
      <c r="G337" s="24"/>
    </row>
    <row r="338" spans="2:7" ht="15.75" customHeight="1" x14ac:dyDescent="0.25">
      <c r="B338" s="23"/>
      <c r="C338" s="23"/>
      <c r="D338" s="23"/>
      <c r="E338" s="23"/>
      <c r="F338" s="24"/>
      <c r="G338" s="24"/>
    </row>
    <row r="339" spans="2:7" ht="15.75" customHeight="1" x14ac:dyDescent="0.25">
      <c r="B339" s="23"/>
      <c r="C339" s="23"/>
      <c r="D339" s="23"/>
      <c r="E339" s="23"/>
      <c r="F339" s="24"/>
      <c r="G339" s="24"/>
    </row>
    <row r="340" spans="2:7" ht="15.75" customHeight="1" x14ac:dyDescent="0.25">
      <c r="B340" s="23"/>
      <c r="C340" s="23"/>
      <c r="D340" s="23"/>
      <c r="E340" s="23"/>
      <c r="F340" s="24"/>
      <c r="G340" s="24"/>
    </row>
    <row r="341" spans="2:7" ht="15.75" customHeight="1" x14ac:dyDescent="0.25">
      <c r="B341" s="23"/>
      <c r="C341" s="23"/>
      <c r="D341" s="23"/>
      <c r="E341" s="23"/>
      <c r="F341" s="24"/>
      <c r="G341" s="24"/>
    </row>
    <row r="342" spans="2:7" ht="15.75" customHeight="1" x14ac:dyDescent="0.25">
      <c r="B342" s="23"/>
      <c r="C342" s="23"/>
      <c r="D342" s="23"/>
      <c r="E342" s="23"/>
      <c r="F342" s="24"/>
      <c r="G342" s="24"/>
    </row>
    <row r="343" spans="2:7" ht="15.75" customHeight="1" x14ac:dyDescent="0.25">
      <c r="B343" s="23"/>
      <c r="C343" s="23"/>
      <c r="D343" s="23"/>
      <c r="E343" s="23"/>
      <c r="F343" s="24"/>
      <c r="G343" s="24"/>
    </row>
    <row r="344" spans="2:7" ht="15.75" customHeight="1" x14ac:dyDescent="0.25">
      <c r="B344" s="23"/>
      <c r="C344" s="23"/>
      <c r="D344" s="23"/>
      <c r="E344" s="23"/>
      <c r="F344" s="24"/>
      <c r="G344" s="24"/>
    </row>
    <row r="345" spans="2:7" ht="15.75" customHeight="1" x14ac:dyDescent="0.25">
      <c r="B345" s="23"/>
      <c r="C345" s="23"/>
      <c r="D345" s="23"/>
      <c r="E345" s="23"/>
      <c r="F345" s="24"/>
      <c r="G345" s="24"/>
    </row>
    <row r="346" spans="2:7" ht="15.75" customHeight="1" x14ac:dyDescent="0.25">
      <c r="B346" s="23"/>
      <c r="C346" s="23"/>
      <c r="D346" s="23"/>
      <c r="E346" s="23"/>
      <c r="F346" s="24"/>
      <c r="G346" s="24"/>
    </row>
    <row r="347" spans="2:7" ht="15.75" customHeight="1" x14ac:dyDescent="0.25">
      <c r="B347" s="23"/>
      <c r="C347" s="23"/>
      <c r="D347" s="23"/>
      <c r="E347" s="23"/>
      <c r="F347" s="24"/>
      <c r="G347" s="24"/>
    </row>
    <row r="348" spans="2:7" ht="15.75" customHeight="1" x14ac:dyDescent="0.25">
      <c r="B348" s="23"/>
      <c r="C348" s="23"/>
      <c r="D348" s="23"/>
      <c r="E348" s="23"/>
      <c r="F348" s="24"/>
      <c r="G348" s="24"/>
    </row>
    <row r="349" spans="2:7" ht="15.75" customHeight="1" x14ac:dyDescent="0.25">
      <c r="B349" s="23"/>
      <c r="C349" s="23"/>
      <c r="D349" s="23"/>
      <c r="E349" s="23"/>
      <c r="F349" s="24"/>
      <c r="G349" s="24"/>
    </row>
    <row r="350" spans="2:7" ht="15.75" customHeight="1" x14ac:dyDescent="0.25">
      <c r="B350" s="23"/>
      <c r="C350" s="23"/>
      <c r="D350" s="23"/>
      <c r="E350" s="23"/>
      <c r="F350" s="24"/>
      <c r="G350" s="24"/>
    </row>
    <row r="351" spans="2:7" ht="15.75" customHeight="1" x14ac:dyDescent="0.25">
      <c r="B351" s="23"/>
      <c r="C351" s="23"/>
      <c r="D351" s="23"/>
      <c r="E351" s="23"/>
      <c r="F351" s="24"/>
      <c r="G351" s="24"/>
    </row>
    <row r="352" spans="2:7" ht="15.75" customHeight="1" x14ac:dyDescent="0.25">
      <c r="B352" s="23"/>
      <c r="C352" s="23"/>
      <c r="D352" s="23"/>
      <c r="E352" s="23"/>
      <c r="F352" s="24"/>
      <c r="G352" s="24"/>
    </row>
    <row r="353" spans="2:7" ht="15.75" customHeight="1" x14ac:dyDescent="0.25">
      <c r="B353" s="23"/>
      <c r="C353" s="23"/>
      <c r="D353" s="23"/>
      <c r="E353" s="23"/>
      <c r="F353" s="24"/>
      <c r="G353" s="24"/>
    </row>
    <row r="354" spans="2:7" ht="15.75" customHeight="1" x14ac:dyDescent="0.25">
      <c r="B354" s="23"/>
      <c r="C354" s="23"/>
      <c r="D354" s="23"/>
      <c r="E354" s="23"/>
      <c r="F354" s="24"/>
      <c r="G354" s="24"/>
    </row>
    <row r="355" spans="2:7" ht="15.75" customHeight="1" x14ac:dyDescent="0.25">
      <c r="B355" s="23"/>
      <c r="C355" s="23"/>
      <c r="D355" s="23"/>
      <c r="E355" s="23"/>
      <c r="F355" s="24"/>
      <c r="G355" s="24"/>
    </row>
    <row r="356" spans="2:7" ht="15.75" customHeight="1" x14ac:dyDescent="0.25">
      <c r="B356" s="23"/>
      <c r="C356" s="23"/>
      <c r="D356" s="23"/>
      <c r="E356" s="23"/>
      <c r="F356" s="24"/>
      <c r="G356" s="24"/>
    </row>
    <row r="357" spans="2:7" ht="15.75" customHeight="1" x14ac:dyDescent="0.25">
      <c r="B357" s="23"/>
      <c r="C357" s="23"/>
      <c r="D357" s="23"/>
      <c r="E357" s="23"/>
      <c r="F357" s="24"/>
      <c r="G357" s="24"/>
    </row>
    <row r="358" spans="2:7" ht="15.75" customHeight="1" x14ac:dyDescent="0.25">
      <c r="B358" s="23"/>
      <c r="C358" s="23"/>
      <c r="D358" s="23"/>
      <c r="E358" s="23"/>
      <c r="F358" s="24"/>
      <c r="G358" s="24"/>
    </row>
    <row r="359" spans="2:7" ht="15.75" customHeight="1" x14ac:dyDescent="0.25">
      <c r="B359" s="23"/>
      <c r="C359" s="23"/>
      <c r="D359" s="23"/>
      <c r="E359" s="23"/>
      <c r="F359" s="24"/>
      <c r="G359" s="24"/>
    </row>
    <row r="360" spans="2:7" ht="15.75" customHeight="1" x14ac:dyDescent="0.25">
      <c r="B360" s="23"/>
      <c r="C360" s="23"/>
      <c r="D360" s="23"/>
      <c r="E360" s="23"/>
      <c r="F360" s="24"/>
      <c r="G360" s="24"/>
    </row>
    <row r="361" spans="2:7" ht="15.75" customHeight="1" x14ac:dyDescent="0.25">
      <c r="B361" s="23"/>
      <c r="C361" s="23"/>
      <c r="D361" s="23"/>
      <c r="E361" s="23"/>
      <c r="F361" s="24"/>
      <c r="G361" s="24"/>
    </row>
    <row r="362" spans="2:7" ht="15.75" customHeight="1" x14ac:dyDescent="0.25">
      <c r="B362" s="23"/>
      <c r="C362" s="23"/>
      <c r="D362" s="23"/>
      <c r="E362" s="23"/>
      <c r="F362" s="24"/>
      <c r="G362" s="24"/>
    </row>
    <row r="363" spans="2:7" ht="15.75" customHeight="1" x14ac:dyDescent="0.25">
      <c r="B363" s="23"/>
      <c r="C363" s="23"/>
      <c r="D363" s="23"/>
      <c r="E363" s="23"/>
      <c r="F363" s="24"/>
      <c r="G363" s="24"/>
    </row>
    <row r="364" spans="2:7" ht="15.75" customHeight="1" x14ac:dyDescent="0.25">
      <c r="B364" s="23"/>
      <c r="C364" s="23"/>
      <c r="D364" s="23"/>
      <c r="E364" s="23"/>
      <c r="F364" s="24"/>
      <c r="G364" s="24"/>
    </row>
    <row r="365" spans="2:7" ht="15.75" customHeight="1" x14ac:dyDescent="0.25">
      <c r="B365" s="23"/>
      <c r="C365" s="23"/>
      <c r="D365" s="23"/>
      <c r="E365" s="23"/>
      <c r="F365" s="24"/>
      <c r="G365" s="24"/>
    </row>
    <row r="366" spans="2:7" ht="15.75" customHeight="1" x14ac:dyDescent="0.25">
      <c r="B366" s="23"/>
      <c r="C366" s="23"/>
      <c r="D366" s="23"/>
      <c r="E366" s="23"/>
      <c r="F366" s="24"/>
      <c r="G366" s="24"/>
    </row>
    <row r="367" spans="2:7" ht="15.75" customHeight="1" x14ac:dyDescent="0.25">
      <c r="B367" s="23"/>
      <c r="C367" s="23"/>
      <c r="D367" s="23"/>
      <c r="E367" s="23"/>
      <c r="F367" s="24"/>
      <c r="G367" s="24"/>
    </row>
    <row r="368" spans="2:7" ht="15.75" customHeight="1" x14ac:dyDescent="0.25">
      <c r="B368" s="23"/>
      <c r="C368" s="23"/>
      <c r="D368" s="23"/>
      <c r="E368" s="23"/>
      <c r="F368" s="24"/>
      <c r="G368" s="24"/>
    </row>
    <row r="369" spans="2:7" ht="15.75" customHeight="1" x14ac:dyDescent="0.25">
      <c r="B369" s="23"/>
      <c r="C369" s="23"/>
      <c r="D369" s="23"/>
      <c r="E369" s="23"/>
      <c r="F369" s="24"/>
      <c r="G369" s="24"/>
    </row>
    <row r="370" spans="2:7" ht="15.75" customHeight="1" x14ac:dyDescent="0.25">
      <c r="B370" s="23"/>
      <c r="C370" s="23"/>
      <c r="D370" s="23"/>
      <c r="E370" s="23"/>
      <c r="F370" s="24"/>
      <c r="G370" s="24"/>
    </row>
    <row r="371" spans="2:7" ht="15.75" customHeight="1" x14ac:dyDescent="0.25">
      <c r="B371" s="23"/>
      <c r="C371" s="23"/>
      <c r="D371" s="23"/>
      <c r="E371" s="23"/>
      <c r="F371" s="24"/>
      <c r="G371" s="24"/>
    </row>
    <row r="372" spans="2:7" ht="15.75" customHeight="1" x14ac:dyDescent="0.25">
      <c r="B372" s="23"/>
      <c r="C372" s="23"/>
      <c r="D372" s="23"/>
      <c r="E372" s="23"/>
      <c r="F372" s="24"/>
      <c r="G372" s="24"/>
    </row>
    <row r="373" spans="2:7" ht="15.75" customHeight="1" x14ac:dyDescent="0.25">
      <c r="B373" s="23"/>
      <c r="C373" s="23"/>
      <c r="D373" s="23"/>
      <c r="E373" s="23"/>
      <c r="F373" s="24"/>
      <c r="G373" s="24"/>
    </row>
    <row r="374" spans="2:7" ht="15.75" customHeight="1" x14ac:dyDescent="0.25">
      <c r="B374" s="23"/>
      <c r="C374" s="23"/>
      <c r="D374" s="23"/>
      <c r="E374" s="23"/>
      <c r="F374" s="24"/>
      <c r="G374" s="24"/>
    </row>
    <row r="375" spans="2:7" ht="15.75" customHeight="1" x14ac:dyDescent="0.25">
      <c r="B375" s="23"/>
      <c r="C375" s="23"/>
      <c r="D375" s="23"/>
      <c r="E375" s="23"/>
      <c r="F375" s="24"/>
      <c r="G375" s="24"/>
    </row>
    <row r="376" spans="2:7" ht="15.75" customHeight="1" x14ac:dyDescent="0.25">
      <c r="B376" s="23"/>
      <c r="C376" s="23"/>
      <c r="D376" s="23"/>
      <c r="E376" s="23"/>
      <c r="F376" s="24"/>
      <c r="G376" s="24"/>
    </row>
    <row r="377" spans="2:7" ht="15.75" customHeight="1" x14ac:dyDescent="0.25">
      <c r="B377" s="23"/>
      <c r="C377" s="23"/>
      <c r="D377" s="23"/>
      <c r="E377" s="23"/>
      <c r="F377" s="24"/>
      <c r="G377" s="24"/>
    </row>
    <row r="378" spans="2:7" ht="15.75" customHeight="1" x14ac:dyDescent="0.25">
      <c r="B378" s="23"/>
      <c r="C378" s="23"/>
      <c r="D378" s="23"/>
      <c r="E378" s="23"/>
      <c r="F378" s="24"/>
      <c r="G378" s="24"/>
    </row>
    <row r="379" spans="2:7" ht="15.75" customHeight="1" x14ac:dyDescent="0.25">
      <c r="B379" s="23"/>
      <c r="C379" s="23"/>
      <c r="D379" s="23"/>
      <c r="E379" s="23"/>
      <c r="F379" s="24"/>
      <c r="G379" s="24"/>
    </row>
    <row r="380" spans="2:7" ht="15.75" customHeight="1" x14ac:dyDescent="0.25">
      <c r="B380" s="23"/>
      <c r="C380" s="23"/>
      <c r="D380" s="23"/>
      <c r="E380" s="23"/>
      <c r="F380" s="24"/>
      <c r="G380" s="24"/>
    </row>
    <row r="381" spans="2:7" ht="15.75" customHeight="1" x14ac:dyDescent="0.25">
      <c r="B381" s="23"/>
      <c r="C381" s="23"/>
      <c r="D381" s="23"/>
      <c r="E381" s="23"/>
      <c r="F381" s="24"/>
      <c r="G381" s="24"/>
    </row>
    <row r="382" spans="2:7" ht="15.75" customHeight="1" x14ac:dyDescent="0.25">
      <c r="B382" s="23"/>
      <c r="C382" s="23"/>
      <c r="D382" s="23"/>
      <c r="E382" s="23"/>
      <c r="F382" s="24"/>
      <c r="G382" s="24"/>
    </row>
    <row r="383" spans="2:7" ht="15.75" customHeight="1" x14ac:dyDescent="0.25">
      <c r="B383" s="23"/>
      <c r="C383" s="23"/>
      <c r="D383" s="23"/>
      <c r="E383" s="23"/>
      <c r="F383" s="24"/>
      <c r="G383" s="24"/>
    </row>
    <row r="384" spans="2:7" ht="15.75" customHeight="1" x14ac:dyDescent="0.25">
      <c r="B384" s="23"/>
      <c r="C384" s="23"/>
      <c r="D384" s="23"/>
      <c r="E384" s="23"/>
      <c r="F384" s="24"/>
      <c r="G384" s="24"/>
    </row>
    <row r="385" spans="2:7" ht="15.75" customHeight="1" x14ac:dyDescent="0.25">
      <c r="B385" s="23"/>
      <c r="C385" s="23"/>
      <c r="D385" s="23"/>
      <c r="E385" s="23"/>
      <c r="F385" s="24"/>
      <c r="G385" s="24"/>
    </row>
    <row r="386" spans="2:7" ht="15.75" customHeight="1" x14ac:dyDescent="0.25">
      <c r="B386" s="23"/>
      <c r="C386" s="23"/>
      <c r="D386" s="23"/>
      <c r="E386" s="23"/>
      <c r="F386" s="24"/>
      <c r="G386" s="24"/>
    </row>
    <row r="387" spans="2:7" ht="15.75" customHeight="1" x14ac:dyDescent="0.25">
      <c r="B387" s="23"/>
      <c r="C387" s="23"/>
      <c r="D387" s="23"/>
      <c r="E387" s="23"/>
      <c r="F387" s="24"/>
      <c r="G387" s="24"/>
    </row>
    <row r="388" spans="2:7" ht="15.75" customHeight="1" x14ac:dyDescent="0.25">
      <c r="B388" s="23"/>
      <c r="C388" s="23"/>
      <c r="D388" s="23"/>
      <c r="E388" s="23"/>
      <c r="F388" s="24"/>
      <c r="G388" s="24"/>
    </row>
    <row r="389" spans="2:7" ht="15.75" customHeight="1" x14ac:dyDescent="0.25">
      <c r="B389" s="23"/>
      <c r="C389" s="23"/>
      <c r="D389" s="23"/>
      <c r="E389" s="23"/>
      <c r="F389" s="24"/>
      <c r="G389" s="24"/>
    </row>
    <row r="390" spans="2:7" ht="15.75" customHeight="1" x14ac:dyDescent="0.25">
      <c r="B390" s="23"/>
      <c r="C390" s="23"/>
      <c r="D390" s="23"/>
      <c r="E390" s="23"/>
      <c r="F390" s="24"/>
      <c r="G390" s="24"/>
    </row>
    <row r="391" spans="2:7" ht="15.75" customHeight="1" x14ac:dyDescent="0.25">
      <c r="B391" s="23"/>
      <c r="C391" s="23"/>
      <c r="D391" s="23"/>
      <c r="E391" s="23"/>
      <c r="F391" s="24"/>
      <c r="G391" s="24"/>
    </row>
    <row r="392" spans="2:7" ht="15.75" customHeight="1" x14ac:dyDescent="0.25">
      <c r="B392" s="23"/>
      <c r="C392" s="23"/>
      <c r="D392" s="23"/>
      <c r="E392" s="23"/>
      <c r="F392" s="24"/>
      <c r="G392" s="24"/>
    </row>
    <row r="393" spans="2:7" ht="15.75" customHeight="1" x14ac:dyDescent="0.25">
      <c r="B393" s="23"/>
      <c r="C393" s="23"/>
      <c r="D393" s="23"/>
      <c r="E393" s="23"/>
      <c r="F393" s="24"/>
      <c r="G393" s="24"/>
    </row>
    <row r="394" spans="2:7" ht="15.75" customHeight="1" x14ac:dyDescent="0.25">
      <c r="B394" s="23"/>
      <c r="C394" s="23"/>
      <c r="D394" s="23"/>
      <c r="E394" s="23"/>
      <c r="F394" s="24"/>
      <c r="G394" s="24"/>
    </row>
    <row r="395" spans="2:7" ht="15.75" customHeight="1" x14ac:dyDescent="0.25">
      <c r="B395" s="23"/>
      <c r="C395" s="23"/>
      <c r="D395" s="23"/>
      <c r="E395" s="23"/>
      <c r="F395" s="24"/>
      <c r="G395" s="24"/>
    </row>
    <row r="396" spans="2:7" ht="15.75" customHeight="1" x14ac:dyDescent="0.25">
      <c r="B396" s="23"/>
      <c r="C396" s="23"/>
      <c r="D396" s="23"/>
      <c r="E396" s="23"/>
      <c r="F396" s="24"/>
      <c r="G396" s="24"/>
    </row>
    <row r="397" spans="2:7" ht="15.75" customHeight="1" x14ac:dyDescent="0.25">
      <c r="B397" s="23"/>
      <c r="C397" s="23"/>
      <c r="D397" s="23"/>
      <c r="E397" s="23"/>
      <c r="F397" s="24"/>
      <c r="G397" s="24"/>
    </row>
    <row r="398" spans="2:7" ht="15.75" customHeight="1" x14ac:dyDescent="0.25">
      <c r="B398" s="23"/>
      <c r="C398" s="23"/>
      <c r="D398" s="23"/>
      <c r="E398" s="23"/>
      <c r="F398" s="24"/>
      <c r="G398" s="24"/>
    </row>
    <row r="399" spans="2:7" ht="15.75" customHeight="1" x14ac:dyDescent="0.25">
      <c r="B399" s="23"/>
      <c r="C399" s="23"/>
      <c r="D399" s="23"/>
      <c r="E399" s="23"/>
      <c r="F399" s="24"/>
      <c r="G399" s="24"/>
    </row>
    <row r="400" spans="2:7" ht="15.75" customHeight="1" x14ac:dyDescent="0.25">
      <c r="B400" s="23"/>
      <c r="C400" s="23"/>
      <c r="D400" s="23"/>
      <c r="E400" s="23"/>
      <c r="F400" s="24"/>
      <c r="G400" s="24"/>
    </row>
    <row r="401" spans="2:7" ht="15.75" customHeight="1" x14ac:dyDescent="0.25">
      <c r="B401" s="23"/>
      <c r="C401" s="23"/>
      <c r="D401" s="23"/>
      <c r="E401" s="23"/>
      <c r="F401" s="24"/>
      <c r="G401" s="24"/>
    </row>
    <row r="402" spans="2:7" ht="15.75" customHeight="1" x14ac:dyDescent="0.25">
      <c r="B402" s="23"/>
      <c r="C402" s="23"/>
      <c r="D402" s="23"/>
      <c r="E402" s="23"/>
      <c r="F402" s="24"/>
      <c r="G402" s="24"/>
    </row>
    <row r="403" spans="2:7" ht="15.75" customHeight="1" x14ac:dyDescent="0.25">
      <c r="B403" s="23"/>
      <c r="C403" s="23"/>
      <c r="D403" s="23"/>
      <c r="E403" s="23"/>
      <c r="F403" s="24"/>
      <c r="G403" s="24"/>
    </row>
    <row r="404" spans="2:7" ht="15.75" customHeight="1" x14ac:dyDescent="0.25">
      <c r="B404" s="23"/>
      <c r="C404" s="23"/>
      <c r="D404" s="23"/>
      <c r="E404" s="23"/>
      <c r="F404" s="24"/>
      <c r="G404" s="24"/>
    </row>
    <row r="405" spans="2:7" ht="15.75" customHeight="1" x14ac:dyDescent="0.25">
      <c r="B405" s="23"/>
      <c r="C405" s="23"/>
      <c r="D405" s="23"/>
      <c r="E405" s="23"/>
      <c r="F405" s="24"/>
      <c r="G405" s="24"/>
    </row>
    <row r="406" spans="2:7" ht="15.75" customHeight="1" x14ac:dyDescent="0.25">
      <c r="B406" s="23"/>
      <c r="C406" s="23"/>
      <c r="D406" s="23"/>
      <c r="E406" s="23"/>
      <c r="F406" s="24"/>
      <c r="G406" s="24"/>
    </row>
    <row r="407" spans="2:7" ht="15.75" customHeight="1" x14ac:dyDescent="0.25">
      <c r="B407" s="23"/>
      <c r="C407" s="23"/>
      <c r="D407" s="23"/>
      <c r="E407" s="23"/>
      <c r="F407" s="24"/>
      <c r="G407" s="24"/>
    </row>
    <row r="408" spans="2:7" ht="15.75" customHeight="1" x14ac:dyDescent="0.25">
      <c r="B408" s="23"/>
      <c r="C408" s="23"/>
      <c r="D408" s="23"/>
      <c r="E408" s="23"/>
      <c r="F408" s="24"/>
      <c r="G408" s="24"/>
    </row>
    <row r="409" spans="2:7" ht="15.75" customHeight="1" x14ac:dyDescent="0.25">
      <c r="B409" s="23"/>
      <c r="C409" s="23"/>
      <c r="D409" s="23"/>
      <c r="E409" s="23"/>
      <c r="F409" s="24"/>
      <c r="G409" s="24"/>
    </row>
    <row r="410" spans="2:7" ht="15.75" customHeight="1" x14ac:dyDescent="0.25">
      <c r="B410" s="23"/>
      <c r="C410" s="23"/>
      <c r="D410" s="23"/>
      <c r="E410" s="23"/>
      <c r="F410" s="24"/>
      <c r="G410" s="24"/>
    </row>
    <row r="411" spans="2:7" ht="15.75" customHeight="1" x14ac:dyDescent="0.25">
      <c r="B411" s="23"/>
      <c r="C411" s="23"/>
      <c r="D411" s="23"/>
      <c r="E411" s="23"/>
      <c r="F411" s="24"/>
      <c r="G411" s="24"/>
    </row>
    <row r="412" spans="2:7" ht="15.75" customHeight="1" x14ac:dyDescent="0.25">
      <c r="B412" s="23"/>
      <c r="C412" s="23"/>
      <c r="D412" s="23"/>
      <c r="E412" s="23"/>
      <c r="F412" s="24"/>
      <c r="G412" s="24"/>
    </row>
    <row r="413" spans="2:7" ht="15.75" customHeight="1" x14ac:dyDescent="0.25">
      <c r="B413" s="23"/>
      <c r="C413" s="23"/>
      <c r="D413" s="23"/>
      <c r="E413" s="23"/>
      <c r="F413" s="24"/>
      <c r="G413" s="24"/>
    </row>
    <row r="414" spans="2:7" ht="15.75" customHeight="1" x14ac:dyDescent="0.25">
      <c r="B414" s="23"/>
      <c r="C414" s="23"/>
      <c r="D414" s="23"/>
      <c r="E414" s="23"/>
      <c r="F414" s="24"/>
      <c r="G414" s="24"/>
    </row>
    <row r="415" spans="2:7" ht="15.75" customHeight="1" x14ac:dyDescent="0.25">
      <c r="B415" s="23"/>
      <c r="C415" s="23"/>
      <c r="D415" s="23"/>
      <c r="E415" s="23"/>
      <c r="F415" s="24"/>
      <c r="G415" s="24"/>
    </row>
    <row r="416" spans="2:7" ht="15.75" customHeight="1" x14ac:dyDescent="0.25">
      <c r="B416" s="23"/>
      <c r="C416" s="23"/>
      <c r="D416" s="23"/>
      <c r="E416" s="23"/>
      <c r="F416" s="24"/>
      <c r="G416" s="24"/>
    </row>
    <row r="417" spans="2:7" ht="15.75" customHeight="1" x14ac:dyDescent="0.25">
      <c r="B417" s="23"/>
      <c r="C417" s="23"/>
      <c r="D417" s="23"/>
      <c r="E417" s="23"/>
      <c r="F417" s="24"/>
      <c r="G417" s="24"/>
    </row>
    <row r="418" spans="2:7" ht="15.75" customHeight="1" x14ac:dyDescent="0.25">
      <c r="B418" s="23"/>
      <c r="C418" s="23"/>
      <c r="D418" s="23"/>
      <c r="E418" s="23"/>
      <c r="F418" s="24"/>
      <c r="G418" s="24"/>
    </row>
    <row r="419" spans="2:7" ht="15.75" customHeight="1" x14ac:dyDescent="0.25">
      <c r="B419" s="23"/>
      <c r="C419" s="23"/>
      <c r="D419" s="23"/>
      <c r="E419" s="23"/>
      <c r="F419" s="24"/>
      <c r="G419" s="24"/>
    </row>
    <row r="420" spans="2:7" ht="15.75" customHeight="1" x14ac:dyDescent="0.25">
      <c r="B420" s="23"/>
      <c r="C420" s="23"/>
      <c r="D420" s="23"/>
      <c r="E420" s="23"/>
      <c r="F420" s="24"/>
      <c r="G420" s="24"/>
    </row>
    <row r="421" spans="2:7" ht="15.75" customHeight="1" x14ac:dyDescent="0.25">
      <c r="B421" s="23"/>
      <c r="C421" s="23"/>
      <c r="D421" s="23"/>
      <c r="E421" s="23"/>
      <c r="F421" s="24"/>
      <c r="G421" s="24"/>
    </row>
    <row r="422" spans="2:7" ht="15.75" customHeight="1" x14ac:dyDescent="0.25">
      <c r="B422" s="23"/>
      <c r="C422" s="23"/>
      <c r="D422" s="23"/>
      <c r="E422" s="23"/>
      <c r="F422" s="24"/>
      <c r="G422" s="24"/>
    </row>
    <row r="423" spans="2:7" ht="15.75" customHeight="1" x14ac:dyDescent="0.25">
      <c r="B423" s="23"/>
      <c r="C423" s="23"/>
      <c r="D423" s="23"/>
      <c r="E423" s="23"/>
      <c r="F423" s="24"/>
      <c r="G423" s="24"/>
    </row>
    <row r="424" spans="2:7" ht="15.75" customHeight="1" x14ac:dyDescent="0.25">
      <c r="B424" s="23"/>
      <c r="C424" s="23"/>
      <c r="D424" s="23"/>
      <c r="E424" s="23"/>
      <c r="F424" s="24"/>
      <c r="G424" s="24"/>
    </row>
    <row r="425" spans="2:7" ht="15.75" customHeight="1" x14ac:dyDescent="0.25">
      <c r="B425" s="23"/>
      <c r="C425" s="23"/>
      <c r="D425" s="23"/>
      <c r="E425" s="23"/>
      <c r="F425" s="24"/>
      <c r="G425" s="24"/>
    </row>
    <row r="426" spans="2:7" ht="15.75" customHeight="1" x14ac:dyDescent="0.25">
      <c r="B426" s="23"/>
      <c r="C426" s="23"/>
      <c r="D426" s="23"/>
      <c r="E426" s="23"/>
      <c r="F426" s="24"/>
      <c r="G426" s="24"/>
    </row>
    <row r="427" spans="2:7" ht="15.75" customHeight="1" x14ac:dyDescent="0.25">
      <c r="B427" s="23"/>
      <c r="C427" s="23"/>
      <c r="D427" s="23"/>
      <c r="E427" s="23"/>
      <c r="F427" s="24"/>
      <c r="G427" s="24"/>
    </row>
    <row r="428" spans="2:7" ht="15.75" customHeight="1" x14ac:dyDescent="0.25">
      <c r="B428" s="23"/>
      <c r="C428" s="23"/>
      <c r="D428" s="23"/>
      <c r="E428" s="23"/>
      <c r="F428" s="24"/>
      <c r="G428" s="24"/>
    </row>
    <row r="429" spans="2:7" ht="15.75" customHeight="1" x14ac:dyDescent="0.25">
      <c r="B429" s="23"/>
      <c r="C429" s="23"/>
      <c r="D429" s="23"/>
      <c r="E429" s="23"/>
      <c r="F429" s="24"/>
      <c r="G429" s="24"/>
    </row>
    <row r="430" spans="2:7" ht="15.75" customHeight="1" x14ac:dyDescent="0.25">
      <c r="B430" s="23"/>
      <c r="C430" s="23"/>
      <c r="D430" s="23"/>
      <c r="E430" s="23"/>
      <c r="F430" s="24"/>
      <c r="G430" s="24"/>
    </row>
    <row r="431" spans="2:7" ht="15.75" customHeight="1" x14ac:dyDescent="0.25">
      <c r="B431" s="23"/>
      <c r="C431" s="23"/>
      <c r="D431" s="23"/>
      <c r="E431" s="23"/>
      <c r="F431" s="24"/>
      <c r="G431" s="24"/>
    </row>
    <row r="432" spans="2:7" ht="15.75" customHeight="1" x14ac:dyDescent="0.25">
      <c r="B432" s="23"/>
      <c r="C432" s="23"/>
      <c r="D432" s="23"/>
      <c r="E432" s="23"/>
      <c r="F432" s="24"/>
      <c r="G432" s="24"/>
    </row>
    <row r="433" spans="2:7" ht="15.75" customHeight="1" x14ac:dyDescent="0.25">
      <c r="B433" s="23"/>
      <c r="C433" s="23"/>
      <c r="D433" s="23"/>
      <c r="E433" s="23"/>
      <c r="F433" s="24"/>
      <c r="G433" s="24"/>
    </row>
    <row r="434" spans="2:7" ht="15.75" customHeight="1" x14ac:dyDescent="0.25">
      <c r="B434" s="23"/>
      <c r="C434" s="23"/>
      <c r="D434" s="23"/>
      <c r="E434" s="23"/>
      <c r="F434" s="24"/>
      <c r="G434" s="24"/>
    </row>
    <row r="435" spans="2:7" ht="15.75" customHeight="1" x14ac:dyDescent="0.25">
      <c r="B435" s="23"/>
      <c r="C435" s="23"/>
      <c r="D435" s="23"/>
      <c r="E435" s="23"/>
      <c r="F435" s="24"/>
      <c r="G435" s="24"/>
    </row>
    <row r="436" spans="2:7" ht="15.75" customHeight="1" x14ac:dyDescent="0.25">
      <c r="B436" s="23"/>
      <c r="C436" s="23"/>
      <c r="D436" s="23"/>
      <c r="E436" s="23"/>
      <c r="F436" s="24"/>
      <c r="G436" s="24"/>
    </row>
    <row r="437" spans="2:7" ht="15.75" customHeight="1" x14ac:dyDescent="0.25">
      <c r="B437" s="23"/>
      <c r="C437" s="23"/>
      <c r="D437" s="23"/>
      <c r="E437" s="23"/>
      <c r="F437" s="24"/>
      <c r="G437" s="24"/>
    </row>
    <row r="438" spans="2:7" ht="15.75" customHeight="1" x14ac:dyDescent="0.25">
      <c r="B438" s="23"/>
      <c r="C438" s="23"/>
      <c r="D438" s="23"/>
      <c r="E438" s="23"/>
      <c r="F438" s="24"/>
      <c r="G438" s="24"/>
    </row>
    <row r="439" spans="2:7" ht="15.75" customHeight="1" x14ac:dyDescent="0.25">
      <c r="B439" s="23"/>
      <c r="C439" s="23"/>
      <c r="D439" s="23"/>
      <c r="E439" s="23"/>
      <c r="F439" s="24"/>
      <c r="G439" s="24"/>
    </row>
    <row r="440" spans="2:7" ht="15.75" customHeight="1" x14ac:dyDescent="0.25">
      <c r="B440" s="23"/>
      <c r="C440" s="23"/>
      <c r="D440" s="23"/>
      <c r="E440" s="23"/>
      <c r="F440" s="24"/>
      <c r="G440" s="24"/>
    </row>
    <row r="441" spans="2:7" ht="15.75" customHeight="1" x14ac:dyDescent="0.25">
      <c r="B441" s="23"/>
      <c r="C441" s="23"/>
      <c r="D441" s="23"/>
      <c r="E441" s="23"/>
      <c r="F441" s="24"/>
      <c r="G441" s="24"/>
    </row>
    <row r="442" spans="2:7" ht="15.75" customHeight="1" x14ac:dyDescent="0.25">
      <c r="B442" s="23"/>
      <c r="C442" s="23"/>
      <c r="D442" s="23"/>
      <c r="E442" s="23"/>
      <c r="F442" s="24"/>
      <c r="G442" s="24"/>
    </row>
    <row r="443" spans="2:7" ht="15.75" customHeight="1" x14ac:dyDescent="0.25">
      <c r="B443" s="23"/>
      <c r="C443" s="23"/>
      <c r="D443" s="23"/>
      <c r="E443" s="23"/>
      <c r="F443" s="24"/>
      <c r="G443" s="24"/>
    </row>
    <row r="444" spans="2:7" ht="15.75" customHeight="1" x14ac:dyDescent="0.25">
      <c r="B444" s="23"/>
      <c r="C444" s="23"/>
      <c r="D444" s="23"/>
      <c r="E444" s="23"/>
      <c r="F444" s="24"/>
      <c r="G444" s="24"/>
    </row>
    <row r="445" spans="2:7" ht="15.75" customHeight="1" x14ac:dyDescent="0.25">
      <c r="B445" s="23"/>
      <c r="C445" s="23"/>
      <c r="D445" s="23"/>
      <c r="E445" s="23"/>
      <c r="F445" s="24"/>
      <c r="G445" s="24"/>
    </row>
    <row r="446" spans="2:7" ht="15.75" customHeight="1" x14ac:dyDescent="0.25">
      <c r="B446" s="23"/>
      <c r="C446" s="23"/>
      <c r="D446" s="23"/>
      <c r="E446" s="23"/>
      <c r="F446" s="24"/>
      <c r="G446" s="24"/>
    </row>
    <row r="447" spans="2:7" ht="15.75" customHeight="1" x14ac:dyDescent="0.25">
      <c r="B447" s="23"/>
      <c r="C447" s="23"/>
      <c r="D447" s="23"/>
      <c r="E447" s="23"/>
      <c r="F447" s="24"/>
      <c r="G447" s="24"/>
    </row>
    <row r="448" spans="2:7" ht="15.75" customHeight="1" x14ac:dyDescent="0.25">
      <c r="B448" s="23"/>
      <c r="C448" s="23"/>
      <c r="D448" s="23"/>
      <c r="E448" s="23"/>
      <c r="F448" s="24"/>
      <c r="G448" s="24"/>
    </row>
    <row r="449" spans="2:7" ht="15.75" customHeight="1" x14ac:dyDescent="0.25">
      <c r="B449" s="23"/>
      <c r="C449" s="23"/>
      <c r="D449" s="23"/>
      <c r="E449" s="23"/>
      <c r="F449" s="24"/>
      <c r="G449" s="24"/>
    </row>
    <row r="450" spans="2:7" ht="15.75" customHeight="1" x14ac:dyDescent="0.25">
      <c r="B450" s="23"/>
      <c r="C450" s="23"/>
      <c r="D450" s="23"/>
      <c r="E450" s="23"/>
      <c r="F450" s="24"/>
      <c r="G450" s="24"/>
    </row>
    <row r="451" spans="2:7" ht="15.75" customHeight="1" x14ac:dyDescent="0.25">
      <c r="B451" s="23"/>
      <c r="C451" s="23"/>
      <c r="D451" s="23"/>
      <c r="E451" s="23"/>
      <c r="F451" s="24"/>
      <c r="G451" s="24"/>
    </row>
    <row r="452" spans="2:7" ht="15.75" customHeight="1" x14ac:dyDescent="0.25">
      <c r="B452" s="23"/>
      <c r="C452" s="23"/>
      <c r="D452" s="23"/>
      <c r="E452" s="23"/>
      <c r="F452" s="24"/>
      <c r="G452" s="24"/>
    </row>
    <row r="453" spans="2:7" ht="15.75" customHeight="1" x14ac:dyDescent="0.25">
      <c r="B453" s="23"/>
      <c r="C453" s="23"/>
      <c r="D453" s="23"/>
      <c r="E453" s="23"/>
      <c r="F453" s="24"/>
      <c r="G453" s="24"/>
    </row>
    <row r="454" spans="2:7" ht="15.75" customHeight="1" x14ac:dyDescent="0.25">
      <c r="B454" s="23"/>
      <c r="C454" s="23"/>
      <c r="D454" s="23"/>
      <c r="E454" s="23"/>
      <c r="F454" s="24"/>
      <c r="G454" s="24"/>
    </row>
    <row r="455" spans="2:7" ht="15.75" customHeight="1" x14ac:dyDescent="0.25">
      <c r="B455" s="23"/>
      <c r="C455" s="23"/>
      <c r="D455" s="23"/>
      <c r="E455" s="23"/>
      <c r="F455" s="24"/>
      <c r="G455" s="24"/>
    </row>
    <row r="456" spans="2:7" ht="15.75" customHeight="1" x14ac:dyDescent="0.25">
      <c r="B456" s="23"/>
      <c r="C456" s="23"/>
      <c r="D456" s="23"/>
      <c r="E456" s="23"/>
      <c r="F456" s="24"/>
      <c r="G456" s="24"/>
    </row>
    <row r="457" spans="2:7" ht="15.75" customHeight="1" x14ac:dyDescent="0.25">
      <c r="B457" s="23"/>
      <c r="C457" s="23"/>
      <c r="D457" s="23"/>
      <c r="E457" s="23"/>
      <c r="F457" s="24"/>
      <c r="G457" s="24"/>
    </row>
    <row r="458" spans="2:7" ht="15.75" customHeight="1" x14ac:dyDescent="0.25">
      <c r="B458" s="23"/>
      <c r="C458" s="23"/>
      <c r="D458" s="23"/>
      <c r="E458" s="23"/>
      <c r="F458" s="24"/>
      <c r="G458" s="24"/>
    </row>
    <row r="459" spans="2:7" ht="15.75" customHeight="1" x14ac:dyDescent="0.25">
      <c r="B459" s="23"/>
      <c r="C459" s="23"/>
      <c r="D459" s="23"/>
      <c r="E459" s="23"/>
      <c r="F459" s="24"/>
      <c r="G459" s="24"/>
    </row>
    <row r="460" spans="2:7" ht="15.75" customHeight="1" x14ac:dyDescent="0.25">
      <c r="B460" s="23"/>
      <c r="C460" s="23"/>
      <c r="D460" s="23"/>
      <c r="E460" s="23"/>
      <c r="F460" s="24"/>
      <c r="G460" s="24"/>
    </row>
    <row r="461" spans="2:7" ht="15.75" customHeight="1" x14ac:dyDescent="0.25">
      <c r="B461" s="23"/>
      <c r="C461" s="23"/>
      <c r="D461" s="23"/>
      <c r="E461" s="23"/>
      <c r="F461" s="24"/>
      <c r="G461" s="24"/>
    </row>
    <row r="462" spans="2:7" ht="15.75" customHeight="1" x14ac:dyDescent="0.25">
      <c r="B462" s="23"/>
      <c r="C462" s="23"/>
      <c r="D462" s="23"/>
      <c r="E462" s="23"/>
      <c r="F462" s="24"/>
      <c r="G462" s="24"/>
    </row>
    <row r="463" spans="2:7" ht="15.75" customHeight="1" x14ac:dyDescent="0.25">
      <c r="B463" s="23"/>
      <c r="C463" s="23"/>
      <c r="D463" s="23"/>
      <c r="E463" s="23"/>
      <c r="F463" s="24"/>
      <c r="G463" s="24"/>
    </row>
    <row r="464" spans="2:7" ht="15.75" customHeight="1" x14ac:dyDescent="0.25">
      <c r="B464" s="23"/>
      <c r="C464" s="23"/>
      <c r="D464" s="23"/>
      <c r="E464" s="23"/>
      <c r="F464" s="24"/>
      <c r="G464" s="24"/>
    </row>
    <row r="465" spans="2:7" ht="15.75" customHeight="1" x14ac:dyDescent="0.25">
      <c r="B465" s="23"/>
      <c r="C465" s="23"/>
      <c r="D465" s="23"/>
      <c r="E465" s="23"/>
      <c r="F465" s="24"/>
      <c r="G465" s="24"/>
    </row>
    <row r="466" spans="2:7" ht="15.75" customHeight="1" x14ac:dyDescent="0.25">
      <c r="B466" s="23"/>
      <c r="C466" s="23"/>
      <c r="D466" s="23"/>
      <c r="E466" s="23"/>
      <c r="F466" s="24"/>
      <c r="G466" s="24"/>
    </row>
    <row r="467" spans="2:7" ht="15.75" customHeight="1" x14ac:dyDescent="0.25">
      <c r="B467" s="23"/>
      <c r="C467" s="23"/>
      <c r="D467" s="23"/>
      <c r="E467" s="23"/>
      <c r="F467" s="24"/>
      <c r="G467" s="24"/>
    </row>
    <row r="468" spans="2:7" ht="15.75" customHeight="1" x14ac:dyDescent="0.25">
      <c r="B468" s="23"/>
      <c r="C468" s="23"/>
      <c r="D468" s="23"/>
      <c r="E468" s="23"/>
      <c r="F468" s="24"/>
      <c r="G468" s="24"/>
    </row>
    <row r="469" spans="2:7" ht="15.75" customHeight="1" x14ac:dyDescent="0.25">
      <c r="B469" s="23"/>
      <c r="C469" s="23"/>
      <c r="D469" s="23"/>
      <c r="E469" s="23"/>
      <c r="F469" s="24"/>
      <c r="G469" s="24"/>
    </row>
    <row r="470" spans="2:7" ht="15.75" customHeight="1" x14ac:dyDescent="0.25">
      <c r="B470" s="23"/>
      <c r="C470" s="23"/>
      <c r="D470" s="23"/>
      <c r="E470" s="23"/>
      <c r="F470" s="24"/>
      <c r="G470" s="24"/>
    </row>
    <row r="471" spans="2:7" ht="15.75" customHeight="1" x14ac:dyDescent="0.25">
      <c r="B471" s="23"/>
      <c r="C471" s="23"/>
      <c r="D471" s="23"/>
      <c r="E471" s="23"/>
      <c r="F471" s="24"/>
      <c r="G471" s="24"/>
    </row>
    <row r="472" spans="2:7" ht="15.75" customHeight="1" x14ac:dyDescent="0.25">
      <c r="B472" s="23"/>
      <c r="C472" s="23"/>
      <c r="D472" s="23"/>
      <c r="E472" s="23"/>
      <c r="F472" s="24"/>
      <c r="G472" s="24"/>
    </row>
    <row r="473" spans="2:7" ht="15.75" customHeight="1" x14ac:dyDescent="0.25">
      <c r="B473" s="23"/>
      <c r="C473" s="23"/>
      <c r="D473" s="23"/>
      <c r="E473" s="23"/>
      <c r="F473" s="24"/>
      <c r="G473" s="24"/>
    </row>
    <row r="474" spans="2:7" ht="15.75" customHeight="1" x14ac:dyDescent="0.25">
      <c r="B474" s="23"/>
      <c r="C474" s="23"/>
      <c r="D474" s="23"/>
      <c r="E474" s="23"/>
      <c r="F474" s="24"/>
      <c r="G474" s="24"/>
    </row>
    <row r="475" spans="2:7" ht="15.75" customHeight="1" x14ac:dyDescent="0.25">
      <c r="B475" s="23"/>
      <c r="C475" s="23"/>
      <c r="D475" s="23"/>
      <c r="E475" s="23"/>
      <c r="F475" s="24"/>
      <c r="G475" s="24"/>
    </row>
    <row r="476" spans="2:7" ht="15.75" customHeight="1" x14ac:dyDescent="0.25">
      <c r="B476" s="23"/>
      <c r="C476" s="23"/>
      <c r="D476" s="23"/>
      <c r="E476" s="23"/>
      <c r="F476" s="24"/>
      <c r="G476" s="24"/>
    </row>
    <row r="477" spans="2:7" ht="15.75" customHeight="1" x14ac:dyDescent="0.25">
      <c r="B477" s="23"/>
      <c r="C477" s="23"/>
      <c r="D477" s="23"/>
      <c r="E477" s="23"/>
      <c r="F477" s="24"/>
      <c r="G477" s="24"/>
    </row>
    <row r="478" spans="2:7" ht="15.75" customHeight="1" x14ac:dyDescent="0.25">
      <c r="B478" s="23"/>
      <c r="C478" s="23"/>
      <c r="D478" s="23"/>
      <c r="E478" s="23"/>
      <c r="F478" s="24"/>
      <c r="G478" s="24"/>
    </row>
    <row r="479" spans="2:7" ht="15.75" customHeight="1" x14ac:dyDescent="0.25">
      <c r="B479" s="23"/>
      <c r="C479" s="23"/>
      <c r="D479" s="23"/>
      <c r="E479" s="23"/>
      <c r="F479" s="24"/>
      <c r="G479" s="24"/>
    </row>
    <row r="480" spans="2:7" ht="15.75" customHeight="1" x14ac:dyDescent="0.25">
      <c r="B480" s="23"/>
      <c r="C480" s="23"/>
      <c r="D480" s="23"/>
      <c r="E480" s="23"/>
      <c r="F480" s="24"/>
      <c r="G480" s="24"/>
    </row>
    <row r="481" spans="2:7" ht="15.75" customHeight="1" x14ac:dyDescent="0.25">
      <c r="B481" s="23"/>
      <c r="C481" s="23"/>
      <c r="D481" s="23"/>
      <c r="E481" s="23"/>
      <c r="F481" s="24"/>
      <c r="G481" s="24"/>
    </row>
    <row r="482" spans="2:7" ht="15.75" customHeight="1" x14ac:dyDescent="0.25">
      <c r="B482" s="23"/>
      <c r="C482" s="23"/>
      <c r="D482" s="23"/>
      <c r="E482" s="23"/>
      <c r="F482" s="24"/>
      <c r="G482" s="24"/>
    </row>
    <row r="483" spans="2:7" ht="15.75" customHeight="1" x14ac:dyDescent="0.25">
      <c r="B483" s="23"/>
      <c r="C483" s="23"/>
      <c r="D483" s="23"/>
      <c r="E483" s="23"/>
      <c r="F483" s="24"/>
      <c r="G483" s="24"/>
    </row>
    <row r="484" spans="2:7" ht="15.75" customHeight="1" x14ac:dyDescent="0.25">
      <c r="B484" s="23"/>
      <c r="C484" s="23"/>
      <c r="D484" s="23"/>
      <c r="E484" s="23"/>
      <c r="F484" s="24"/>
      <c r="G484" s="24"/>
    </row>
    <row r="485" spans="2:7" ht="15.75" customHeight="1" x14ac:dyDescent="0.25">
      <c r="B485" s="23"/>
      <c r="C485" s="23"/>
      <c r="D485" s="23"/>
      <c r="E485" s="23"/>
      <c r="F485" s="24"/>
      <c r="G485" s="24"/>
    </row>
    <row r="486" spans="2:7" ht="15.75" customHeight="1" x14ac:dyDescent="0.25">
      <c r="B486" s="23"/>
      <c r="C486" s="23"/>
      <c r="D486" s="23"/>
      <c r="E486" s="23"/>
      <c r="F486" s="24"/>
      <c r="G486" s="24"/>
    </row>
    <row r="487" spans="2:7" ht="15.75" customHeight="1" x14ac:dyDescent="0.25">
      <c r="B487" s="23"/>
      <c r="C487" s="23"/>
      <c r="D487" s="23"/>
      <c r="E487" s="23"/>
      <c r="F487" s="24"/>
      <c r="G487" s="24"/>
    </row>
    <row r="488" spans="2:7" ht="15.75" customHeight="1" x14ac:dyDescent="0.25">
      <c r="B488" s="23"/>
      <c r="C488" s="23"/>
      <c r="D488" s="23"/>
      <c r="E488" s="23"/>
      <c r="F488" s="24"/>
      <c r="G488" s="24"/>
    </row>
    <row r="489" spans="2:7" ht="15.75" customHeight="1" x14ac:dyDescent="0.25">
      <c r="B489" s="23"/>
      <c r="C489" s="23"/>
      <c r="D489" s="23"/>
      <c r="E489" s="23"/>
      <c r="F489" s="24"/>
      <c r="G489" s="24"/>
    </row>
    <row r="490" spans="2:7" ht="15.75" customHeight="1" x14ac:dyDescent="0.25">
      <c r="B490" s="23"/>
      <c r="C490" s="23"/>
      <c r="D490" s="23"/>
      <c r="E490" s="23"/>
      <c r="F490" s="24"/>
      <c r="G490" s="24"/>
    </row>
    <row r="491" spans="2:7" ht="15.75" customHeight="1" x14ac:dyDescent="0.25">
      <c r="B491" s="23"/>
      <c r="C491" s="23"/>
      <c r="D491" s="23"/>
      <c r="E491" s="23"/>
      <c r="F491" s="24"/>
      <c r="G491" s="24"/>
    </row>
    <row r="492" spans="2:7" ht="15.75" customHeight="1" x14ac:dyDescent="0.25">
      <c r="B492" s="23"/>
      <c r="C492" s="23"/>
      <c r="D492" s="23"/>
      <c r="E492" s="23"/>
      <c r="F492" s="24"/>
      <c r="G492" s="24"/>
    </row>
    <row r="493" spans="2:7" ht="15.75" customHeight="1" x14ac:dyDescent="0.25">
      <c r="B493" s="23"/>
      <c r="C493" s="23"/>
      <c r="D493" s="23"/>
      <c r="E493" s="23"/>
      <c r="F493" s="24"/>
      <c r="G493" s="24"/>
    </row>
    <row r="494" spans="2:7" ht="15.75" customHeight="1" x14ac:dyDescent="0.25">
      <c r="B494" s="23"/>
      <c r="C494" s="23"/>
      <c r="D494" s="23"/>
      <c r="E494" s="23"/>
      <c r="F494" s="24"/>
      <c r="G494" s="24"/>
    </row>
    <row r="495" spans="2:7" ht="15.75" customHeight="1" x14ac:dyDescent="0.25">
      <c r="B495" s="23"/>
      <c r="C495" s="23"/>
      <c r="D495" s="23"/>
      <c r="E495" s="23"/>
      <c r="F495" s="24"/>
      <c r="G495" s="24"/>
    </row>
    <row r="496" spans="2:7" ht="15.75" customHeight="1" x14ac:dyDescent="0.25">
      <c r="B496" s="23"/>
      <c r="C496" s="23"/>
      <c r="D496" s="23"/>
      <c r="E496" s="23"/>
      <c r="F496" s="24"/>
      <c r="G496" s="24"/>
    </row>
    <row r="497" spans="2:7" ht="15.75" customHeight="1" x14ac:dyDescent="0.25">
      <c r="B497" s="23"/>
      <c r="C497" s="23"/>
      <c r="D497" s="23"/>
      <c r="E497" s="23"/>
      <c r="F497" s="24"/>
      <c r="G497" s="24"/>
    </row>
    <row r="498" spans="2:7" ht="15.75" customHeight="1" x14ac:dyDescent="0.25">
      <c r="B498" s="23"/>
      <c r="C498" s="23"/>
      <c r="D498" s="23"/>
      <c r="E498" s="23"/>
      <c r="F498" s="24"/>
      <c r="G498" s="24"/>
    </row>
    <row r="499" spans="2:7" ht="15.75" customHeight="1" x14ac:dyDescent="0.25">
      <c r="B499" s="23"/>
      <c r="C499" s="23"/>
      <c r="D499" s="23"/>
      <c r="E499" s="23"/>
      <c r="F499" s="24"/>
      <c r="G499" s="24"/>
    </row>
    <row r="500" spans="2:7" ht="15.75" customHeight="1" x14ac:dyDescent="0.25">
      <c r="B500" s="23"/>
      <c r="C500" s="23"/>
      <c r="D500" s="23"/>
      <c r="E500" s="23"/>
      <c r="F500" s="24"/>
      <c r="G500" s="24"/>
    </row>
    <row r="501" spans="2:7" ht="15.75" customHeight="1" x14ac:dyDescent="0.25">
      <c r="B501" s="23"/>
      <c r="C501" s="23"/>
      <c r="D501" s="23"/>
      <c r="E501" s="23"/>
      <c r="F501" s="24"/>
      <c r="G501" s="24"/>
    </row>
    <row r="502" spans="2:7" ht="15.75" customHeight="1" x14ac:dyDescent="0.25">
      <c r="B502" s="23"/>
      <c r="C502" s="23"/>
      <c r="D502" s="23"/>
      <c r="E502" s="23"/>
      <c r="F502" s="24"/>
      <c r="G502" s="24"/>
    </row>
    <row r="503" spans="2:7" ht="15.75" customHeight="1" x14ac:dyDescent="0.25">
      <c r="B503" s="23"/>
      <c r="C503" s="23"/>
      <c r="D503" s="23"/>
      <c r="E503" s="23"/>
      <c r="F503" s="24"/>
      <c r="G503" s="24"/>
    </row>
    <row r="504" spans="2:7" ht="15.75" customHeight="1" x14ac:dyDescent="0.25">
      <c r="B504" s="23"/>
      <c r="C504" s="23"/>
      <c r="D504" s="23"/>
      <c r="E504" s="23"/>
      <c r="F504" s="24"/>
      <c r="G504" s="24"/>
    </row>
    <row r="505" spans="2:7" ht="15.75" customHeight="1" x14ac:dyDescent="0.25">
      <c r="B505" s="23"/>
      <c r="C505" s="23"/>
      <c r="D505" s="23"/>
      <c r="E505" s="23"/>
      <c r="F505" s="24"/>
      <c r="G505" s="24"/>
    </row>
    <row r="506" spans="2:7" ht="15.75" customHeight="1" x14ac:dyDescent="0.25">
      <c r="B506" s="23"/>
      <c r="C506" s="23"/>
      <c r="D506" s="23"/>
      <c r="E506" s="23"/>
      <c r="F506" s="24"/>
      <c r="G506" s="24"/>
    </row>
    <row r="507" spans="2:7" ht="15.75" customHeight="1" x14ac:dyDescent="0.25">
      <c r="B507" s="23"/>
      <c r="C507" s="23"/>
      <c r="D507" s="23"/>
      <c r="E507" s="23"/>
      <c r="F507" s="24"/>
      <c r="G507" s="24"/>
    </row>
    <row r="508" spans="2:7" ht="15.75" customHeight="1" x14ac:dyDescent="0.25">
      <c r="B508" s="23"/>
      <c r="C508" s="23"/>
      <c r="D508" s="23"/>
      <c r="E508" s="23"/>
      <c r="F508" s="24"/>
      <c r="G508" s="24"/>
    </row>
    <row r="509" spans="2:7" ht="15.75" customHeight="1" x14ac:dyDescent="0.25">
      <c r="B509" s="23"/>
      <c r="C509" s="23"/>
      <c r="D509" s="23"/>
      <c r="E509" s="23"/>
      <c r="F509" s="24"/>
      <c r="G509" s="24"/>
    </row>
    <row r="510" spans="2:7" ht="15.75" customHeight="1" x14ac:dyDescent="0.25">
      <c r="B510" s="23"/>
      <c r="C510" s="23"/>
      <c r="D510" s="23"/>
      <c r="E510" s="23"/>
      <c r="F510" s="24"/>
      <c r="G510" s="24"/>
    </row>
    <row r="511" spans="2:7" ht="15.75" customHeight="1" x14ac:dyDescent="0.25">
      <c r="B511" s="23"/>
      <c r="C511" s="23"/>
      <c r="D511" s="23"/>
      <c r="E511" s="23"/>
      <c r="F511" s="24"/>
      <c r="G511" s="24"/>
    </row>
    <row r="512" spans="2:7" ht="15.75" customHeight="1" x14ac:dyDescent="0.25">
      <c r="B512" s="23"/>
      <c r="C512" s="23"/>
      <c r="D512" s="23"/>
      <c r="E512" s="23"/>
      <c r="F512" s="24"/>
      <c r="G512" s="24"/>
    </row>
    <row r="513" spans="2:7" ht="15.75" customHeight="1" x14ac:dyDescent="0.25">
      <c r="B513" s="23"/>
      <c r="C513" s="23"/>
      <c r="D513" s="23"/>
      <c r="E513" s="23"/>
      <c r="F513" s="24"/>
      <c r="G513" s="24"/>
    </row>
    <row r="514" spans="2:7" ht="15.75" customHeight="1" x14ac:dyDescent="0.25">
      <c r="B514" s="23"/>
      <c r="C514" s="23"/>
      <c r="D514" s="23"/>
      <c r="E514" s="23"/>
      <c r="F514" s="24"/>
      <c r="G514" s="24"/>
    </row>
    <row r="515" spans="2:7" ht="15.75" customHeight="1" x14ac:dyDescent="0.25">
      <c r="B515" s="23"/>
      <c r="C515" s="23"/>
      <c r="D515" s="23"/>
      <c r="E515" s="23"/>
      <c r="F515" s="24"/>
      <c r="G515" s="24"/>
    </row>
    <row r="516" spans="2:7" ht="15.75" customHeight="1" x14ac:dyDescent="0.25">
      <c r="B516" s="23"/>
      <c r="C516" s="23"/>
      <c r="D516" s="23"/>
      <c r="E516" s="23"/>
      <c r="F516" s="24"/>
      <c r="G516" s="24"/>
    </row>
    <row r="517" spans="2:7" ht="15.75" customHeight="1" x14ac:dyDescent="0.25">
      <c r="B517" s="23"/>
      <c r="C517" s="23"/>
      <c r="D517" s="23"/>
      <c r="E517" s="23"/>
      <c r="F517" s="24"/>
      <c r="G517" s="24"/>
    </row>
    <row r="518" spans="2:7" ht="15.75" customHeight="1" x14ac:dyDescent="0.25">
      <c r="B518" s="23"/>
      <c r="C518" s="23"/>
      <c r="D518" s="23"/>
      <c r="E518" s="23"/>
      <c r="F518" s="24"/>
      <c r="G518" s="24"/>
    </row>
    <row r="519" spans="2:7" ht="15.75" customHeight="1" x14ac:dyDescent="0.25">
      <c r="B519" s="23"/>
      <c r="C519" s="23"/>
      <c r="D519" s="23"/>
      <c r="E519" s="23"/>
      <c r="F519" s="24"/>
      <c r="G519" s="24"/>
    </row>
    <row r="520" spans="2:7" ht="15.75" customHeight="1" x14ac:dyDescent="0.25">
      <c r="B520" s="23"/>
      <c r="C520" s="23"/>
      <c r="D520" s="23"/>
      <c r="E520" s="23"/>
      <c r="F520" s="24"/>
      <c r="G520" s="24"/>
    </row>
    <row r="521" spans="2:7" ht="15.75" customHeight="1" x14ac:dyDescent="0.25">
      <c r="B521" s="23"/>
      <c r="C521" s="23"/>
      <c r="D521" s="23"/>
      <c r="E521" s="23"/>
      <c r="F521" s="24"/>
      <c r="G521" s="24"/>
    </row>
    <row r="522" spans="2:7" ht="15.75" customHeight="1" x14ac:dyDescent="0.25">
      <c r="B522" s="23"/>
      <c r="C522" s="23"/>
      <c r="D522" s="23"/>
      <c r="E522" s="23"/>
      <c r="F522" s="24"/>
      <c r="G522" s="24"/>
    </row>
    <row r="523" spans="2:7" ht="15.75" customHeight="1" x14ac:dyDescent="0.25">
      <c r="B523" s="23"/>
      <c r="C523" s="23"/>
      <c r="D523" s="23"/>
      <c r="E523" s="23"/>
      <c r="F523" s="24"/>
      <c r="G523" s="24"/>
    </row>
    <row r="524" spans="2:7" ht="15.75" customHeight="1" x14ac:dyDescent="0.25">
      <c r="B524" s="23"/>
      <c r="C524" s="23"/>
      <c r="D524" s="23"/>
      <c r="E524" s="23"/>
      <c r="F524" s="24"/>
      <c r="G524" s="24"/>
    </row>
    <row r="525" spans="2:7" ht="15.75" customHeight="1" x14ac:dyDescent="0.25">
      <c r="B525" s="23"/>
      <c r="C525" s="23"/>
      <c r="D525" s="23"/>
      <c r="E525" s="23"/>
      <c r="F525" s="24"/>
      <c r="G525" s="24"/>
    </row>
    <row r="526" spans="2:7" ht="15.75" customHeight="1" x14ac:dyDescent="0.25">
      <c r="B526" s="23"/>
      <c r="C526" s="23"/>
      <c r="D526" s="23"/>
      <c r="E526" s="23"/>
      <c r="F526" s="24"/>
      <c r="G526" s="24"/>
    </row>
    <row r="527" spans="2:7" ht="15.75" customHeight="1" x14ac:dyDescent="0.25">
      <c r="B527" s="23"/>
      <c r="C527" s="23"/>
      <c r="D527" s="23"/>
      <c r="E527" s="23"/>
      <c r="F527" s="24"/>
      <c r="G527" s="24"/>
    </row>
    <row r="528" spans="2:7" ht="15.75" customHeight="1" x14ac:dyDescent="0.25">
      <c r="B528" s="23"/>
      <c r="C528" s="23"/>
      <c r="D528" s="23"/>
      <c r="E528" s="23"/>
      <c r="F528" s="24"/>
      <c r="G528" s="24"/>
    </row>
    <row r="529" spans="2:7" ht="15.75" customHeight="1" x14ac:dyDescent="0.25">
      <c r="B529" s="23"/>
      <c r="C529" s="23"/>
      <c r="D529" s="23"/>
      <c r="E529" s="23"/>
      <c r="F529" s="24"/>
      <c r="G529" s="24"/>
    </row>
    <row r="530" spans="2:7" ht="15.75" customHeight="1" x14ac:dyDescent="0.25">
      <c r="B530" s="23"/>
      <c r="C530" s="23"/>
      <c r="D530" s="23"/>
      <c r="E530" s="23"/>
      <c r="F530" s="24"/>
      <c r="G530" s="24"/>
    </row>
    <row r="531" spans="2:7" ht="15.75" customHeight="1" x14ac:dyDescent="0.25">
      <c r="B531" s="23"/>
      <c r="C531" s="23"/>
      <c r="D531" s="23"/>
      <c r="E531" s="23"/>
      <c r="F531" s="24"/>
      <c r="G531" s="24"/>
    </row>
    <row r="532" spans="2:7" ht="15.75" customHeight="1" x14ac:dyDescent="0.25">
      <c r="B532" s="23"/>
      <c r="C532" s="23"/>
      <c r="D532" s="23"/>
      <c r="E532" s="23"/>
      <c r="F532" s="24"/>
      <c r="G532" s="24"/>
    </row>
    <row r="533" spans="2:7" ht="15.75" customHeight="1" x14ac:dyDescent="0.25">
      <c r="B533" s="23"/>
      <c r="C533" s="23"/>
      <c r="D533" s="23"/>
      <c r="E533" s="23"/>
      <c r="F533" s="24"/>
      <c r="G533" s="24"/>
    </row>
    <row r="534" spans="2:7" ht="15.75" customHeight="1" x14ac:dyDescent="0.25">
      <c r="B534" s="23"/>
      <c r="C534" s="23"/>
      <c r="D534" s="23"/>
      <c r="E534" s="23"/>
      <c r="F534" s="24"/>
      <c r="G534" s="24"/>
    </row>
    <row r="535" spans="2:7" ht="15.75" customHeight="1" x14ac:dyDescent="0.25">
      <c r="B535" s="23"/>
      <c r="C535" s="23"/>
      <c r="D535" s="23"/>
      <c r="E535" s="23"/>
      <c r="F535" s="24"/>
      <c r="G535" s="24"/>
    </row>
    <row r="536" spans="2:7" ht="15.75" customHeight="1" x14ac:dyDescent="0.25">
      <c r="B536" s="23"/>
      <c r="C536" s="23"/>
      <c r="D536" s="23"/>
      <c r="E536" s="23"/>
      <c r="F536" s="24"/>
      <c r="G536" s="24"/>
    </row>
    <row r="537" spans="2:7" ht="15.75" customHeight="1" x14ac:dyDescent="0.25">
      <c r="B537" s="23"/>
      <c r="C537" s="23"/>
      <c r="D537" s="23"/>
      <c r="E537" s="23"/>
      <c r="F537" s="24"/>
      <c r="G537" s="24"/>
    </row>
    <row r="538" spans="2:7" ht="15.75" customHeight="1" x14ac:dyDescent="0.25">
      <c r="B538" s="23"/>
      <c r="C538" s="23"/>
      <c r="D538" s="23"/>
      <c r="E538" s="23"/>
      <c r="F538" s="24"/>
      <c r="G538" s="24"/>
    </row>
    <row r="539" spans="2:7" ht="15.75" customHeight="1" x14ac:dyDescent="0.25">
      <c r="B539" s="23"/>
      <c r="C539" s="23"/>
      <c r="D539" s="23"/>
      <c r="E539" s="23"/>
      <c r="F539" s="24"/>
      <c r="G539" s="24"/>
    </row>
    <row r="540" spans="2:7" ht="15.75" customHeight="1" x14ac:dyDescent="0.25">
      <c r="B540" s="23"/>
      <c r="C540" s="23"/>
      <c r="D540" s="23"/>
      <c r="E540" s="23"/>
      <c r="F540" s="24"/>
      <c r="G540" s="24"/>
    </row>
    <row r="541" spans="2:7" ht="15.75" customHeight="1" x14ac:dyDescent="0.25">
      <c r="B541" s="23"/>
      <c r="C541" s="23"/>
      <c r="D541" s="23"/>
      <c r="E541" s="23"/>
      <c r="F541" s="24"/>
      <c r="G541" s="24"/>
    </row>
    <row r="542" spans="2:7" ht="15.75" customHeight="1" x14ac:dyDescent="0.25">
      <c r="B542" s="23"/>
      <c r="C542" s="23"/>
      <c r="D542" s="23"/>
      <c r="E542" s="23"/>
      <c r="F542" s="24"/>
      <c r="G542" s="24"/>
    </row>
    <row r="543" spans="2:7" ht="15.75" customHeight="1" x14ac:dyDescent="0.25">
      <c r="B543" s="23"/>
      <c r="C543" s="23"/>
      <c r="D543" s="23"/>
      <c r="E543" s="23"/>
      <c r="F543" s="24"/>
      <c r="G543" s="24"/>
    </row>
    <row r="544" spans="2:7" ht="15.75" customHeight="1" x14ac:dyDescent="0.25">
      <c r="B544" s="23"/>
      <c r="C544" s="23"/>
      <c r="D544" s="23"/>
      <c r="E544" s="23"/>
      <c r="F544" s="24"/>
      <c r="G544" s="24"/>
    </row>
    <row r="545" spans="2:7" ht="15.75" customHeight="1" x14ac:dyDescent="0.25">
      <c r="B545" s="23"/>
      <c r="C545" s="23"/>
      <c r="D545" s="23"/>
      <c r="E545" s="23"/>
      <c r="F545" s="24"/>
      <c r="G545" s="24"/>
    </row>
    <row r="546" spans="2:7" ht="15.75" customHeight="1" x14ac:dyDescent="0.25">
      <c r="B546" s="23"/>
      <c r="C546" s="23"/>
      <c r="D546" s="23"/>
      <c r="E546" s="23"/>
      <c r="F546" s="24"/>
      <c r="G546" s="24"/>
    </row>
    <row r="547" spans="2:7" ht="15.75" customHeight="1" x14ac:dyDescent="0.25">
      <c r="B547" s="23"/>
      <c r="C547" s="23"/>
      <c r="D547" s="23"/>
      <c r="E547" s="23"/>
      <c r="F547" s="24"/>
      <c r="G547" s="24"/>
    </row>
    <row r="548" spans="2:7" ht="15.75" customHeight="1" x14ac:dyDescent="0.25">
      <c r="B548" s="23"/>
      <c r="C548" s="23"/>
      <c r="D548" s="23"/>
      <c r="E548" s="23"/>
      <c r="F548" s="24"/>
      <c r="G548" s="24"/>
    </row>
    <row r="549" spans="2:7" ht="15.75" customHeight="1" x14ac:dyDescent="0.25">
      <c r="B549" s="23"/>
      <c r="C549" s="23"/>
      <c r="D549" s="23"/>
      <c r="E549" s="23"/>
      <c r="F549" s="24"/>
      <c r="G549" s="24"/>
    </row>
    <row r="550" spans="2:7" ht="15.75" customHeight="1" x14ac:dyDescent="0.25">
      <c r="B550" s="23"/>
      <c r="C550" s="23"/>
      <c r="D550" s="23"/>
      <c r="E550" s="23"/>
      <c r="F550" s="24"/>
      <c r="G550" s="24"/>
    </row>
    <row r="551" spans="2:7" ht="15.75" customHeight="1" x14ac:dyDescent="0.25">
      <c r="B551" s="23"/>
      <c r="C551" s="23"/>
      <c r="D551" s="23"/>
      <c r="E551" s="23"/>
      <c r="F551" s="24"/>
      <c r="G551" s="24"/>
    </row>
    <row r="552" spans="2:7" ht="15.75" customHeight="1" x14ac:dyDescent="0.25">
      <c r="B552" s="23"/>
      <c r="C552" s="23"/>
      <c r="D552" s="23"/>
      <c r="E552" s="23"/>
      <c r="F552" s="24"/>
      <c r="G552" s="24"/>
    </row>
    <row r="553" spans="2:7" ht="15.75" customHeight="1" x14ac:dyDescent="0.25">
      <c r="B553" s="23"/>
      <c r="C553" s="23"/>
      <c r="D553" s="23"/>
      <c r="E553" s="23"/>
      <c r="F553" s="24"/>
      <c r="G553" s="24"/>
    </row>
    <row r="554" spans="2:7" ht="15.75" customHeight="1" x14ac:dyDescent="0.25">
      <c r="B554" s="23"/>
      <c r="C554" s="23"/>
      <c r="D554" s="23"/>
      <c r="E554" s="23"/>
      <c r="F554" s="24"/>
      <c r="G554" s="24"/>
    </row>
    <row r="555" spans="2:7" ht="15.75" customHeight="1" x14ac:dyDescent="0.25">
      <c r="B555" s="23"/>
      <c r="C555" s="23"/>
      <c r="D555" s="23"/>
      <c r="E555" s="23"/>
      <c r="F555" s="24"/>
      <c r="G555" s="24"/>
    </row>
    <row r="556" spans="2:7" ht="15.75" customHeight="1" x14ac:dyDescent="0.25">
      <c r="B556" s="23"/>
      <c r="C556" s="23"/>
      <c r="D556" s="23"/>
      <c r="E556" s="23"/>
      <c r="F556" s="24"/>
      <c r="G556" s="24"/>
    </row>
    <row r="557" spans="2:7" ht="15.75" customHeight="1" x14ac:dyDescent="0.25">
      <c r="B557" s="23"/>
      <c r="C557" s="23"/>
      <c r="D557" s="23"/>
      <c r="E557" s="23"/>
      <c r="F557" s="24"/>
      <c r="G557" s="24"/>
    </row>
    <row r="558" spans="2:7" ht="15.75" customHeight="1" x14ac:dyDescent="0.25">
      <c r="B558" s="23"/>
      <c r="C558" s="23"/>
      <c r="D558" s="23"/>
      <c r="E558" s="23"/>
      <c r="F558" s="24"/>
      <c r="G558" s="24"/>
    </row>
    <row r="559" spans="2:7" ht="15.75" customHeight="1" x14ac:dyDescent="0.25">
      <c r="B559" s="23"/>
      <c r="C559" s="23"/>
      <c r="D559" s="23"/>
      <c r="E559" s="23"/>
      <c r="F559" s="24"/>
      <c r="G559" s="24"/>
    </row>
    <row r="560" spans="2:7" ht="15.75" customHeight="1" x14ac:dyDescent="0.25">
      <c r="B560" s="23"/>
      <c r="C560" s="23"/>
      <c r="D560" s="23"/>
      <c r="E560" s="23"/>
      <c r="F560" s="24"/>
      <c r="G560" s="24"/>
    </row>
    <row r="561" spans="2:7" ht="15.75" customHeight="1" x14ac:dyDescent="0.25">
      <c r="B561" s="23"/>
      <c r="C561" s="23"/>
      <c r="D561" s="23"/>
      <c r="E561" s="23"/>
      <c r="F561" s="24"/>
      <c r="G561" s="24"/>
    </row>
    <row r="562" spans="2:7" ht="15.75" customHeight="1" x14ac:dyDescent="0.25">
      <c r="B562" s="23"/>
      <c r="C562" s="23"/>
      <c r="D562" s="23"/>
      <c r="E562" s="23"/>
      <c r="F562" s="24"/>
      <c r="G562" s="24"/>
    </row>
    <row r="563" spans="2:7" ht="15.75" customHeight="1" x14ac:dyDescent="0.25">
      <c r="B563" s="23"/>
      <c r="C563" s="23"/>
      <c r="D563" s="23"/>
      <c r="E563" s="23"/>
      <c r="F563" s="24"/>
      <c r="G563" s="24"/>
    </row>
    <row r="564" spans="2:7" ht="15.75" customHeight="1" x14ac:dyDescent="0.25">
      <c r="B564" s="23"/>
      <c r="C564" s="23"/>
      <c r="D564" s="23"/>
      <c r="E564" s="23"/>
      <c r="F564" s="24"/>
      <c r="G564" s="24"/>
    </row>
    <row r="565" spans="2:7" ht="15.75" customHeight="1" x14ac:dyDescent="0.25">
      <c r="B565" s="23"/>
      <c r="C565" s="23"/>
      <c r="D565" s="23"/>
      <c r="E565" s="23"/>
      <c r="F565" s="24"/>
      <c r="G565" s="24"/>
    </row>
    <row r="566" spans="2:7" ht="15.75" customHeight="1" x14ac:dyDescent="0.25">
      <c r="B566" s="23"/>
      <c r="C566" s="23"/>
      <c r="D566" s="23"/>
      <c r="E566" s="23"/>
      <c r="F566" s="24"/>
      <c r="G566" s="24"/>
    </row>
    <row r="567" spans="2:7" ht="15.75" customHeight="1" x14ac:dyDescent="0.25">
      <c r="B567" s="23"/>
      <c r="C567" s="23"/>
      <c r="D567" s="23"/>
      <c r="E567" s="23"/>
      <c r="F567" s="24"/>
      <c r="G567" s="24"/>
    </row>
    <row r="568" spans="2:7" ht="15.75" customHeight="1" x14ac:dyDescent="0.25">
      <c r="B568" s="23"/>
      <c r="C568" s="23"/>
      <c r="D568" s="23"/>
      <c r="E568" s="23"/>
      <c r="F568" s="24"/>
      <c r="G568" s="24"/>
    </row>
    <row r="569" spans="2:7" ht="15.75" customHeight="1" x14ac:dyDescent="0.25">
      <c r="B569" s="23"/>
      <c r="C569" s="23"/>
      <c r="D569" s="23"/>
      <c r="E569" s="23"/>
      <c r="F569" s="24"/>
      <c r="G569" s="24"/>
    </row>
    <row r="570" spans="2:7" ht="15.75" customHeight="1" x14ac:dyDescent="0.25">
      <c r="B570" s="23"/>
      <c r="C570" s="23"/>
      <c r="D570" s="23"/>
      <c r="E570" s="23"/>
      <c r="F570" s="24"/>
      <c r="G570" s="24"/>
    </row>
    <row r="571" spans="2:7" ht="15.75" customHeight="1" x14ac:dyDescent="0.25">
      <c r="B571" s="23"/>
      <c r="C571" s="23"/>
      <c r="D571" s="23"/>
      <c r="E571" s="23"/>
      <c r="F571" s="24"/>
      <c r="G571" s="24"/>
    </row>
    <row r="572" spans="2:7" ht="15.75" customHeight="1" x14ac:dyDescent="0.25">
      <c r="B572" s="23"/>
      <c r="C572" s="23"/>
      <c r="D572" s="23"/>
      <c r="E572" s="23"/>
      <c r="F572" s="24"/>
      <c r="G572" s="24"/>
    </row>
    <row r="573" spans="2:7" ht="15.75" customHeight="1" x14ac:dyDescent="0.25">
      <c r="B573" s="23"/>
      <c r="C573" s="23"/>
      <c r="D573" s="23"/>
      <c r="E573" s="23"/>
      <c r="F573" s="24"/>
      <c r="G573" s="24"/>
    </row>
    <row r="574" spans="2:7" ht="15.75" customHeight="1" x14ac:dyDescent="0.25">
      <c r="B574" s="23"/>
      <c r="C574" s="23"/>
      <c r="D574" s="23"/>
      <c r="E574" s="23"/>
      <c r="F574" s="24"/>
      <c r="G574" s="24"/>
    </row>
    <row r="575" spans="2:7" ht="15.75" customHeight="1" x14ac:dyDescent="0.25">
      <c r="B575" s="23"/>
      <c r="C575" s="23"/>
      <c r="D575" s="23"/>
      <c r="E575" s="23"/>
      <c r="F575" s="24"/>
      <c r="G575" s="24"/>
    </row>
    <row r="576" spans="2:7" ht="15.75" customHeight="1" x14ac:dyDescent="0.25">
      <c r="B576" s="23"/>
      <c r="C576" s="23"/>
      <c r="D576" s="23"/>
      <c r="E576" s="23"/>
      <c r="F576" s="24"/>
      <c r="G576" s="24"/>
    </row>
    <row r="577" spans="2:7" ht="15.75" customHeight="1" x14ac:dyDescent="0.25">
      <c r="B577" s="23"/>
      <c r="C577" s="23"/>
      <c r="D577" s="23"/>
      <c r="E577" s="23"/>
      <c r="F577" s="24"/>
      <c r="G577" s="24"/>
    </row>
    <row r="578" spans="2:7" ht="15.75" customHeight="1" x14ac:dyDescent="0.25">
      <c r="B578" s="23"/>
      <c r="C578" s="23"/>
      <c r="D578" s="23"/>
      <c r="E578" s="23"/>
      <c r="F578" s="24"/>
      <c r="G578" s="24"/>
    </row>
    <row r="579" spans="2:7" ht="15.75" customHeight="1" x14ac:dyDescent="0.25">
      <c r="B579" s="23"/>
      <c r="C579" s="23"/>
      <c r="D579" s="23"/>
      <c r="E579" s="23"/>
      <c r="F579" s="24"/>
      <c r="G579" s="24"/>
    </row>
    <row r="580" spans="2:7" ht="15.75" customHeight="1" x14ac:dyDescent="0.25">
      <c r="B580" s="23"/>
      <c r="C580" s="23"/>
      <c r="D580" s="23"/>
      <c r="E580" s="23"/>
      <c r="F580" s="24"/>
      <c r="G580" s="24"/>
    </row>
    <row r="581" spans="2:7" ht="15.75" customHeight="1" x14ac:dyDescent="0.25">
      <c r="B581" s="23"/>
      <c r="C581" s="23"/>
      <c r="D581" s="23"/>
      <c r="E581" s="23"/>
      <c r="F581" s="24"/>
      <c r="G581" s="24"/>
    </row>
    <row r="582" spans="2:7" ht="15.75" customHeight="1" x14ac:dyDescent="0.25">
      <c r="B582" s="23"/>
      <c r="C582" s="23"/>
      <c r="D582" s="23"/>
      <c r="E582" s="23"/>
      <c r="F582" s="24"/>
      <c r="G582" s="24"/>
    </row>
    <row r="583" spans="2:7" ht="15.75" customHeight="1" x14ac:dyDescent="0.25">
      <c r="B583" s="23"/>
      <c r="C583" s="23"/>
      <c r="D583" s="23"/>
      <c r="E583" s="23"/>
      <c r="F583" s="24"/>
      <c r="G583" s="24"/>
    </row>
    <row r="584" spans="2:7" ht="15.75" customHeight="1" x14ac:dyDescent="0.25">
      <c r="B584" s="23"/>
      <c r="C584" s="23"/>
      <c r="D584" s="23"/>
      <c r="E584" s="23"/>
      <c r="F584" s="24"/>
      <c r="G584" s="24"/>
    </row>
    <row r="585" spans="2:7" ht="15.75" customHeight="1" x14ac:dyDescent="0.25">
      <c r="B585" s="23"/>
      <c r="C585" s="23"/>
      <c r="D585" s="23"/>
      <c r="E585" s="23"/>
      <c r="F585" s="24"/>
      <c r="G585" s="24"/>
    </row>
    <row r="586" spans="2:7" ht="15.75" customHeight="1" x14ac:dyDescent="0.25">
      <c r="B586" s="23"/>
      <c r="C586" s="23"/>
      <c r="D586" s="23"/>
      <c r="E586" s="23"/>
      <c r="F586" s="24"/>
      <c r="G586" s="24"/>
    </row>
    <row r="587" spans="2:7" ht="15.75" customHeight="1" x14ac:dyDescent="0.25">
      <c r="B587" s="23"/>
      <c r="C587" s="23"/>
      <c r="D587" s="23"/>
      <c r="E587" s="23"/>
      <c r="F587" s="24"/>
      <c r="G587" s="24"/>
    </row>
    <row r="588" spans="2:7" ht="15.75" customHeight="1" x14ac:dyDescent="0.25">
      <c r="B588" s="23"/>
      <c r="C588" s="23"/>
      <c r="D588" s="23"/>
      <c r="E588" s="23"/>
      <c r="F588" s="24"/>
      <c r="G588" s="24"/>
    </row>
    <row r="589" spans="2:7" ht="15.75" customHeight="1" x14ac:dyDescent="0.25">
      <c r="B589" s="23"/>
      <c r="C589" s="23"/>
      <c r="D589" s="23"/>
      <c r="E589" s="23"/>
      <c r="F589" s="24"/>
      <c r="G589" s="24"/>
    </row>
    <row r="590" spans="2:7" ht="15.75" customHeight="1" x14ac:dyDescent="0.25">
      <c r="B590" s="23"/>
      <c r="C590" s="23"/>
      <c r="D590" s="23"/>
      <c r="E590" s="23"/>
      <c r="F590" s="24"/>
      <c r="G590" s="24"/>
    </row>
    <row r="591" spans="2:7" ht="15.75" customHeight="1" x14ac:dyDescent="0.25">
      <c r="B591" s="23"/>
      <c r="C591" s="23"/>
      <c r="D591" s="23"/>
      <c r="E591" s="23"/>
      <c r="F591" s="24"/>
      <c r="G591" s="24"/>
    </row>
    <row r="592" spans="2:7" ht="15.75" customHeight="1" x14ac:dyDescent="0.25">
      <c r="B592" s="23"/>
      <c r="C592" s="23"/>
      <c r="D592" s="23"/>
      <c r="E592" s="23"/>
      <c r="F592" s="24"/>
      <c r="G592" s="24"/>
    </row>
    <row r="593" spans="2:7" ht="15.75" customHeight="1" x14ac:dyDescent="0.25">
      <c r="B593" s="23"/>
      <c r="C593" s="23"/>
      <c r="D593" s="23"/>
      <c r="E593" s="23"/>
      <c r="F593" s="24"/>
      <c r="G593" s="24"/>
    </row>
    <row r="594" spans="2:7" ht="15.75" customHeight="1" x14ac:dyDescent="0.25">
      <c r="B594" s="23"/>
      <c r="C594" s="23"/>
      <c r="D594" s="23"/>
      <c r="E594" s="23"/>
      <c r="F594" s="24"/>
      <c r="G594" s="24"/>
    </row>
    <row r="595" spans="2:7" ht="15.75" customHeight="1" x14ac:dyDescent="0.25">
      <c r="B595" s="23"/>
      <c r="C595" s="23"/>
      <c r="D595" s="23"/>
      <c r="E595" s="23"/>
      <c r="F595" s="24"/>
      <c r="G595" s="24"/>
    </row>
    <row r="596" spans="2:7" ht="15.75" customHeight="1" x14ac:dyDescent="0.25">
      <c r="B596" s="23"/>
      <c r="C596" s="23"/>
      <c r="D596" s="23"/>
      <c r="E596" s="23"/>
      <c r="F596" s="24"/>
      <c r="G596" s="24"/>
    </row>
    <row r="597" spans="2:7" ht="15.75" customHeight="1" x14ac:dyDescent="0.25">
      <c r="B597" s="23"/>
      <c r="C597" s="23"/>
      <c r="D597" s="23"/>
      <c r="E597" s="23"/>
      <c r="F597" s="24"/>
      <c r="G597" s="24"/>
    </row>
    <row r="598" spans="2:7" ht="15.75" customHeight="1" x14ac:dyDescent="0.25">
      <c r="B598" s="23"/>
      <c r="C598" s="23"/>
      <c r="D598" s="23"/>
      <c r="E598" s="23"/>
      <c r="F598" s="24"/>
      <c r="G598" s="24"/>
    </row>
    <row r="599" spans="2:7" ht="15.75" customHeight="1" x14ac:dyDescent="0.25">
      <c r="B599" s="23"/>
      <c r="C599" s="23"/>
      <c r="D599" s="23"/>
      <c r="E599" s="23"/>
      <c r="F599" s="24"/>
      <c r="G599" s="24"/>
    </row>
    <row r="600" spans="2:7" ht="15.75" customHeight="1" x14ac:dyDescent="0.25">
      <c r="B600" s="23"/>
      <c r="C600" s="23"/>
      <c r="D600" s="23"/>
      <c r="E600" s="23"/>
      <c r="F600" s="24"/>
      <c r="G600" s="24"/>
    </row>
    <row r="601" spans="2:7" ht="15.75" customHeight="1" x14ac:dyDescent="0.25">
      <c r="B601" s="23"/>
      <c r="C601" s="23"/>
      <c r="D601" s="23"/>
      <c r="E601" s="23"/>
      <c r="F601" s="24"/>
      <c r="G601" s="24"/>
    </row>
    <row r="602" spans="2:7" ht="15.75" customHeight="1" x14ac:dyDescent="0.25">
      <c r="B602" s="23"/>
      <c r="C602" s="23"/>
      <c r="D602" s="23"/>
      <c r="E602" s="23"/>
      <c r="F602" s="24"/>
      <c r="G602" s="24"/>
    </row>
    <row r="603" spans="2:7" ht="15.75" customHeight="1" x14ac:dyDescent="0.25">
      <c r="B603" s="23"/>
      <c r="C603" s="23"/>
      <c r="D603" s="23"/>
      <c r="E603" s="23"/>
      <c r="F603" s="24"/>
      <c r="G603" s="24"/>
    </row>
    <row r="604" spans="2:7" ht="15.75" customHeight="1" x14ac:dyDescent="0.25">
      <c r="B604" s="23"/>
      <c r="C604" s="23"/>
      <c r="D604" s="23"/>
      <c r="E604" s="23"/>
      <c r="F604" s="24"/>
      <c r="G604" s="24"/>
    </row>
    <row r="605" spans="2:7" ht="15.75" customHeight="1" x14ac:dyDescent="0.25">
      <c r="B605" s="23"/>
      <c r="C605" s="23"/>
      <c r="D605" s="23"/>
      <c r="E605" s="23"/>
      <c r="F605" s="24"/>
      <c r="G605" s="24"/>
    </row>
    <row r="606" spans="2:7" ht="15.75" customHeight="1" x14ac:dyDescent="0.25">
      <c r="B606" s="23"/>
      <c r="C606" s="23"/>
      <c r="D606" s="23"/>
      <c r="E606" s="23"/>
      <c r="F606" s="24"/>
      <c r="G606" s="24"/>
    </row>
    <row r="607" spans="2:7" ht="15.75" customHeight="1" x14ac:dyDescent="0.25">
      <c r="B607" s="23"/>
      <c r="C607" s="23"/>
      <c r="D607" s="23"/>
      <c r="E607" s="23"/>
      <c r="F607" s="24"/>
      <c r="G607" s="24"/>
    </row>
    <row r="608" spans="2:7" ht="15.75" customHeight="1" x14ac:dyDescent="0.25">
      <c r="B608" s="23"/>
      <c r="C608" s="23"/>
      <c r="D608" s="23"/>
      <c r="E608" s="23"/>
      <c r="F608" s="24"/>
      <c r="G608" s="24"/>
    </row>
    <row r="609" spans="2:7" ht="15.75" customHeight="1" x14ac:dyDescent="0.25">
      <c r="B609" s="23"/>
      <c r="C609" s="23"/>
      <c r="D609" s="23"/>
      <c r="E609" s="23"/>
      <c r="F609" s="24"/>
      <c r="G609" s="24"/>
    </row>
    <row r="610" spans="2:7" ht="15.75" customHeight="1" x14ac:dyDescent="0.25">
      <c r="B610" s="23"/>
      <c r="C610" s="23"/>
      <c r="D610" s="23"/>
      <c r="E610" s="23"/>
      <c r="F610" s="24"/>
      <c r="G610" s="24"/>
    </row>
    <row r="611" spans="2:7" ht="15.75" customHeight="1" x14ac:dyDescent="0.25">
      <c r="B611" s="23"/>
      <c r="C611" s="23"/>
      <c r="D611" s="23"/>
      <c r="E611" s="23"/>
      <c r="F611" s="24"/>
      <c r="G611" s="24"/>
    </row>
    <row r="612" spans="2:7" ht="15.75" customHeight="1" x14ac:dyDescent="0.25">
      <c r="B612" s="23"/>
      <c r="C612" s="23"/>
      <c r="D612" s="23"/>
      <c r="E612" s="23"/>
      <c r="F612" s="24"/>
      <c r="G612" s="24"/>
    </row>
    <row r="613" spans="2:7" ht="15.75" customHeight="1" x14ac:dyDescent="0.25">
      <c r="B613" s="23"/>
      <c r="C613" s="23"/>
      <c r="D613" s="23"/>
      <c r="E613" s="23"/>
      <c r="F613" s="24"/>
      <c r="G613" s="24"/>
    </row>
    <row r="614" spans="2:7" ht="15.75" customHeight="1" x14ac:dyDescent="0.25">
      <c r="B614" s="23"/>
      <c r="C614" s="23"/>
      <c r="D614" s="23"/>
      <c r="E614" s="23"/>
      <c r="F614" s="24"/>
      <c r="G614" s="24"/>
    </row>
    <row r="615" spans="2:7" ht="15.75" customHeight="1" x14ac:dyDescent="0.25">
      <c r="B615" s="23"/>
      <c r="C615" s="23"/>
      <c r="D615" s="23"/>
      <c r="E615" s="23"/>
      <c r="F615" s="24"/>
      <c r="G615" s="24"/>
    </row>
    <row r="616" spans="2:7" ht="15.75" customHeight="1" x14ac:dyDescent="0.25">
      <c r="B616" s="23"/>
      <c r="C616" s="23"/>
      <c r="D616" s="23"/>
      <c r="E616" s="23"/>
      <c r="F616" s="24"/>
      <c r="G616" s="24"/>
    </row>
    <row r="617" spans="2:7" ht="15.75" customHeight="1" x14ac:dyDescent="0.25">
      <c r="B617" s="23"/>
      <c r="C617" s="23"/>
      <c r="D617" s="23"/>
      <c r="E617" s="23"/>
      <c r="F617" s="24"/>
      <c r="G617" s="24"/>
    </row>
    <row r="618" spans="2:7" ht="15.75" customHeight="1" x14ac:dyDescent="0.25">
      <c r="B618" s="23"/>
      <c r="C618" s="23"/>
      <c r="D618" s="23"/>
      <c r="E618" s="23"/>
      <c r="F618" s="24"/>
      <c r="G618" s="24"/>
    </row>
    <row r="619" spans="2:7" ht="15.75" customHeight="1" x14ac:dyDescent="0.25">
      <c r="B619" s="23"/>
      <c r="C619" s="23"/>
      <c r="D619" s="23"/>
      <c r="E619" s="23"/>
      <c r="F619" s="24"/>
      <c r="G619" s="24"/>
    </row>
    <row r="620" spans="2:7" ht="15.75" customHeight="1" x14ac:dyDescent="0.25">
      <c r="B620" s="23"/>
      <c r="C620" s="23"/>
      <c r="D620" s="23"/>
      <c r="E620" s="23"/>
      <c r="F620" s="24"/>
      <c r="G620" s="24"/>
    </row>
    <row r="621" spans="2:7" ht="15.75" customHeight="1" x14ac:dyDescent="0.25">
      <c r="B621" s="23"/>
      <c r="C621" s="23"/>
      <c r="D621" s="23"/>
      <c r="E621" s="23"/>
      <c r="F621" s="24"/>
      <c r="G621" s="24"/>
    </row>
    <row r="622" spans="2:7" ht="15.75" customHeight="1" x14ac:dyDescent="0.25">
      <c r="B622" s="23"/>
      <c r="C622" s="23"/>
      <c r="D622" s="23"/>
      <c r="E622" s="23"/>
      <c r="F622" s="24"/>
      <c r="G622" s="24"/>
    </row>
    <row r="623" spans="2:7" ht="15.75" customHeight="1" x14ac:dyDescent="0.25">
      <c r="B623" s="23"/>
      <c r="C623" s="23"/>
      <c r="D623" s="23"/>
      <c r="E623" s="23"/>
      <c r="F623" s="24"/>
      <c r="G623" s="24"/>
    </row>
    <row r="624" spans="2:7" ht="15.75" customHeight="1" x14ac:dyDescent="0.25">
      <c r="B624" s="23"/>
      <c r="C624" s="23"/>
      <c r="D624" s="23"/>
      <c r="E624" s="23"/>
      <c r="F624" s="24"/>
      <c r="G624" s="24"/>
    </row>
    <row r="625" spans="2:7" ht="15.75" customHeight="1" x14ac:dyDescent="0.25">
      <c r="B625" s="23"/>
      <c r="C625" s="23"/>
      <c r="D625" s="23"/>
      <c r="E625" s="23"/>
      <c r="F625" s="24"/>
      <c r="G625" s="24"/>
    </row>
    <row r="626" spans="2:7" ht="15.75" customHeight="1" x14ac:dyDescent="0.25">
      <c r="B626" s="23"/>
      <c r="C626" s="23"/>
      <c r="D626" s="23"/>
      <c r="E626" s="23"/>
      <c r="F626" s="24"/>
      <c r="G626" s="24"/>
    </row>
    <row r="627" spans="2:7" ht="15.75" customHeight="1" x14ac:dyDescent="0.25">
      <c r="B627" s="23"/>
      <c r="C627" s="23"/>
      <c r="D627" s="23"/>
      <c r="E627" s="23"/>
      <c r="F627" s="24"/>
      <c r="G627" s="24"/>
    </row>
    <row r="628" spans="2:7" ht="15.75" customHeight="1" x14ac:dyDescent="0.25">
      <c r="B628" s="23"/>
      <c r="C628" s="23"/>
      <c r="D628" s="23"/>
      <c r="E628" s="23"/>
      <c r="F628" s="24"/>
      <c r="G628" s="24"/>
    </row>
    <row r="629" spans="2:7" ht="15.75" customHeight="1" x14ac:dyDescent="0.25">
      <c r="B629" s="23"/>
      <c r="C629" s="23"/>
      <c r="D629" s="23"/>
      <c r="E629" s="23"/>
      <c r="F629" s="24"/>
      <c r="G629" s="24"/>
    </row>
    <row r="630" spans="2:7" ht="15.75" customHeight="1" x14ac:dyDescent="0.25">
      <c r="B630" s="23"/>
      <c r="C630" s="23"/>
      <c r="D630" s="23"/>
      <c r="E630" s="23"/>
      <c r="F630" s="24"/>
      <c r="G630" s="24"/>
    </row>
    <row r="631" spans="2:7" ht="15.75" customHeight="1" x14ac:dyDescent="0.25">
      <c r="B631" s="23"/>
      <c r="C631" s="23"/>
      <c r="D631" s="23"/>
      <c r="E631" s="23"/>
      <c r="F631" s="24"/>
      <c r="G631" s="24"/>
    </row>
    <row r="632" spans="2:7" ht="15.75" customHeight="1" x14ac:dyDescent="0.25">
      <c r="B632" s="23"/>
      <c r="C632" s="23"/>
      <c r="D632" s="23"/>
      <c r="E632" s="23"/>
      <c r="F632" s="24"/>
      <c r="G632" s="24"/>
    </row>
    <row r="633" spans="2:7" ht="15.75" customHeight="1" x14ac:dyDescent="0.25">
      <c r="B633" s="23"/>
      <c r="C633" s="23"/>
      <c r="D633" s="23"/>
      <c r="E633" s="23"/>
      <c r="F633" s="24"/>
      <c r="G633" s="24"/>
    </row>
    <row r="634" spans="2:7" ht="15.75" customHeight="1" x14ac:dyDescent="0.25">
      <c r="B634" s="23"/>
      <c r="C634" s="23"/>
      <c r="D634" s="23"/>
      <c r="E634" s="23"/>
      <c r="F634" s="24"/>
      <c r="G634" s="24"/>
    </row>
    <row r="635" spans="2:7" ht="15.75" customHeight="1" x14ac:dyDescent="0.25">
      <c r="B635" s="23"/>
      <c r="C635" s="23"/>
      <c r="D635" s="23"/>
      <c r="E635" s="23"/>
      <c r="F635" s="24"/>
      <c r="G635" s="24"/>
    </row>
    <row r="636" spans="2:7" ht="15.75" customHeight="1" x14ac:dyDescent="0.25">
      <c r="B636" s="23"/>
      <c r="C636" s="23"/>
      <c r="D636" s="23"/>
      <c r="E636" s="23"/>
      <c r="F636" s="24"/>
      <c r="G636" s="24"/>
    </row>
    <row r="637" spans="2:7" ht="15.75" customHeight="1" x14ac:dyDescent="0.25">
      <c r="B637" s="23"/>
      <c r="C637" s="23"/>
      <c r="D637" s="23"/>
      <c r="E637" s="23"/>
      <c r="F637" s="24"/>
      <c r="G637" s="24"/>
    </row>
    <row r="638" spans="2:7" ht="15.75" customHeight="1" x14ac:dyDescent="0.25">
      <c r="B638" s="23"/>
      <c r="C638" s="23"/>
      <c r="D638" s="23"/>
      <c r="E638" s="23"/>
      <c r="F638" s="24"/>
      <c r="G638" s="24"/>
    </row>
    <row r="639" spans="2:7" ht="15.75" customHeight="1" x14ac:dyDescent="0.25">
      <c r="B639" s="23"/>
      <c r="C639" s="23"/>
      <c r="D639" s="23"/>
      <c r="E639" s="23"/>
      <c r="F639" s="24"/>
      <c r="G639" s="24"/>
    </row>
    <row r="640" spans="2:7" ht="15.75" customHeight="1" x14ac:dyDescent="0.25">
      <c r="B640" s="23"/>
      <c r="C640" s="23"/>
      <c r="D640" s="23"/>
      <c r="E640" s="23"/>
      <c r="F640" s="24"/>
      <c r="G640" s="24"/>
    </row>
    <row r="641" spans="2:7" ht="15.75" customHeight="1" x14ac:dyDescent="0.25">
      <c r="B641" s="23"/>
      <c r="C641" s="23"/>
      <c r="D641" s="23"/>
      <c r="E641" s="23"/>
      <c r="F641" s="24"/>
      <c r="G641" s="24"/>
    </row>
    <row r="642" spans="2:7" ht="15.75" customHeight="1" x14ac:dyDescent="0.25">
      <c r="B642" s="23"/>
      <c r="C642" s="23"/>
      <c r="D642" s="23"/>
      <c r="E642" s="23"/>
      <c r="F642" s="24"/>
      <c r="G642" s="24"/>
    </row>
    <row r="643" spans="2:7" ht="15.75" customHeight="1" x14ac:dyDescent="0.25">
      <c r="B643" s="23"/>
      <c r="C643" s="23"/>
      <c r="D643" s="23"/>
      <c r="E643" s="23"/>
      <c r="F643" s="24"/>
      <c r="G643" s="24"/>
    </row>
    <row r="644" spans="2:7" ht="15.75" customHeight="1" x14ac:dyDescent="0.25">
      <c r="B644" s="23"/>
      <c r="C644" s="23"/>
      <c r="D644" s="23"/>
      <c r="E644" s="23"/>
      <c r="F644" s="24"/>
      <c r="G644" s="24"/>
    </row>
    <row r="645" spans="2:7" ht="15.75" customHeight="1" x14ac:dyDescent="0.25">
      <c r="B645" s="23"/>
      <c r="C645" s="23"/>
      <c r="D645" s="23"/>
      <c r="E645" s="23"/>
      <c r="F645" s="24"/>
      <c r="G645" s="24"/>
    </row>
    <row r="646" spans="2:7" ht="15.75" customHeight="1" x14ac:dyDescent="0.25">
      <c r="B646" s="23"/>
      <c r="C646" s="23"/>
      <c r="D646" s="23"/>
      <c r="E646" s="23"/>
      <c r="F646" s="24"/>
      <c r="G646" s="24"/>
    </row>
    <row r="647" spans="2:7" ht="15.75" customHeight="1" x14ac:dyDescent="0.25">
      <c r="B647" s="23"/>
      <c r="C647" s="23"/>
      <c r="D647" s="23"/>
      <c r="E647" s="23"/>
      <c r="F647" s="24"/>
      <c r="G647" s="24"/>
    </row>
    <row r="648" spans="2:7" ht="15.75" customHeight="1" x14ac:dyDescent="0.25">
      <c r="B648" s="23"/>
      <c r="C648" s="23"/>
      <c r="D648" s="23"/>
      <c r="E648" s="23"/>
      <c r="F648" s="24"/>
      <c r="G648" s="24"/>
    </row>
    <row r="649" spans="2:7" ht="15.75" customHeight="1" x14ac:dyDescent="0.25">
      <c r="B649" s="23"/>
      <c r="C649" s="23"/>
      <c r="D649" s="23"/>
      <c r="E649" s="23"/>
      <c r="F649" s="24"/>
      <c r="G649" s="24"/>
    </row>
    <row r="650" spans="2:7" ht="15.75" customHeight="1" x14ac:dyDescent="0.25">
      <c r="B650" s="23"/>
      <c r="C650" s="23"/>
      <c r="D650" s="23"/>
      <c r="E650" s="23"/>
      <c r="F650" s="24"/>
      <c r="G650" s="24"/>
    </row>
    <row r="651" spans="2:7" ht="15.75" customHeight="1" x14ac:dyDescent="0.25">
      <c r="B651" s="23"/>
      <c r="C651" s="23"/>
      <c r="D651" s="23"/>
      <c r="E651" s="23"/>
      <c r="F651" s="24"/>
      <c r="G651" s="24"/>
    </row>
    <row r="652" spans="2:7" ht="15.75" customHeight="1" x14ac:dyDescent="0.25">
      <c r="B652" s="23"/>
      <c r="C652" s="23"/>
      <c r="D652" s="23"/>
      <c r="E652" s="23"/>
      <c r="F652" s="24"/>
      <c r="G652" s="24"/>
    </row>
    <row r="653" spans="2:7" ht="15.75" customHeight="1" x14ac:dyDescent="0.25">
      <c r="B653" s="23"/>
      <c r="C653" s="23"/>
      <c r="D653" s="23"/>
      <c r="E653" s="23"/>
      <c r="F653" s="24"/>
      <c r="G653" s="24"/>
    </row>
    <row r="654" spans="2:7" ht="15.75" customHeight="1" x14ac:dyDescent="0.25">
      <c r="B654" s="23"/>
      <c r="C654" s="23"/>
      <c r="D654" s="23"/>
      <c r="E654" s="23"/>
      <c r="F654" s="24"/>
      <c r="G654" s="24"/>
    </row>
    <row r="655" spans="2:7" ht="15.75" customHeight="1" x14ac:dyDescent="0.25">
      <c r="B655" s="23"/>
      <c r="C655" s="23"/>
      <c r="D655" s="23"/>
      <c r="E655" s="23"/>
      <c r="F655" s="24"/>
      <c r="G655" s="24"/>
    </row>
    <row r="656" spans="2:7" ht="15.75" customHeight="1" x14ac:dyDescent="0.25">
      <c r="B656" s="23"/>
      <c r="C656" s="23"/>
      <c r="D656" s="23"/>
      <c r="E656" s="23"/>
      <c r="F656" s="24"/>
      <c r="G656" s="24"/>
    </row>
    <row r="657" spans="2:7" ht="15.75" customHeight="1" x14ac:dyDescent="0.25">
      <c r="B657" s="23"/>
      <c r="C657" s="23"/>
      <c r="D657" s="23"/>
      <c r="E657" s="23"/>
      <c r="F657" s="24"/>
      <c r="G657" s="24"/>
    </row>
    <row r="658" spans="2:7" ht="15.75" customHeight="1" x14ac:dyDescent="0.25">
      <c r="B658" s="23"/>
      <c r="C658" s="23"/>
      <c r="D658" s="23"/>
      <c r="E658" s="23"/>
      <c r="F658" s="24"/>
      <c r="G658" s="24"/>
    </row>
    <row r="659" spans="2:7" ht="15.75" customHeight="1" x14ac:dyDescent="0.25">
      <c r="B659" s="23"/>
      <c r="C659" s="23"/>
      <c r="D659" s="23"/>
      <c r="E659" s="23"/>
      <c r="F659" s="24"/>
      <c r="G659" s="24"/>
    </row>
    <row r="660" spans="2:7" ht="15.75" customHeight="1" x14ac:dyDescent="0.25">
      <c r="B660" s="23"/>
      <c r="C660" s="23"/>
      <c r="D660" s="23"/>
      <c r="E660" s="23"/>
      <c r="F660" s="24"/>
      <c r="G660" s="24"/>
    </row>
    <row r="661" spans="2:7" ht="15.75" customHeight="1" x14ac:dyDescent="0.25">
      <c r="B661" s="23"/>
      <c r="C661" s="23"/>
      <c r="D661" s="23"/>
      <c r="E661" s="23"/>
      <c r="F661" s="24"/>
      <c r="G661" s="24"/>
    </row>
    <row r="662" spans="2:7" ht="15.75" customHeight="1" x14ac:dyDescent="0.25">
      <c r="B662" s="23"/>
      <c r="C662" s="23"/>
      <c r="D662" s="23"/>
      <c r="E662" s="23"/>
      <c r="F662" s="24"/>
      <c r="G662" s="24"/>
    </row>
    <row r="663" spans="2:7" ht="15.75" customHeight="1" x14ac:dyDescent="0.25">
      <c r="B663" s="23"/>
      <c r="C663" s="23"/>
      <c r="D663" s="23"/>
      <c r="E663" s="23"/>
      <c r="F663" s="24"/>
      <c r="G663" s="24"/>
    </row>
    <row r="664" spans="2:7" ht="15.75" customHeight="1" x14ac:dyDescent="0.25">
      <c r="B664" s="23"/>
      <c r="C664" s="23"/>
      <c r="D664" s="23"/>
      <c r="E664" s="23"/>
      <c r="F664" s="24"/>
      <c r="G664" s="24"/>
    </row>
    <row r="665" spans="2:7" ht="15.75" customHeight="1" x14ac:dyDescent="0.25">
      <c r="B665" s="23"/>
      <c r="C665" s="23"/>
      <c r="D665" s="23"/>
      <c r="E665" s="23"/>
      <c r="F665" s="24"/>
      <c r="G665" s="24"/>
    </row>
    <row r="666" spans="2:7" ht="15.75" customHeight="1" x14ac:dyDescent="0.25">
      <c r="B666" s="23"/>
      <c r="C666" s="23"/>
      <c r="D666" s="23"/>
      <c r="E666" s="23"/>
      <c r="F666" s="24"/>
      <c r="G666" s="24"/>
    </row>
    <row r="667" spans="2:7" ht="15.75" customHeight="1" x14ac:dyDescent="0.25">
      <c r="B667" s="23"/>
      <c r="C667" s="23"/>
      <c r="D667" s="23"/>
      <c r="E667" s="23"/>
      <c r="F667" s="24"/>
      <c r="G667" s="24"/>
    </row>
    <row r="668" spans="2:7" ht="15.75" customHeight="1" x14ac:dyDescent="0.25">
      <c r="B668" s="23"/>
      <c r="C668" s="23"/>
      <c r="D668" s="23"/>
      <c r="E668" s="23"/>
      <c r="F668" s="24"/>
      <c r="G668" s="24"/>
    </row>
    <row r="669" spans="2:7" ht="15.75" customHeight="1" x14ac:dyDescent="0.25">
      <c r="B669" s="23"/>
      <c r="C669" s="23"/>
      <c r="D669" s="23"/>
      <c r="E669" s="23"/>
      <c r="F669" s="24"/>
      <c r="G669" s="24"/>
    </row>
    <row r="670" spans="2:7" ht="15.75" customHeight="1" x14ac:dyDescent="0.25">
      <c r="B670" s="23"/>
      <c r="C670" s="23"/>
      <c r="D670" s="23"/>
      <c r="E670" s="23"/>
      <c r="F670" s="24"/>
      <c r="G670" s="24"/>
    </row>
    <row r="671" spans="2:7" ht="15.75" customHeight="1" x14ac:dyDescent="0.25">
      <c r="B671" s="23"/>
      <c r="C671" s="23"/>
      <c r="D671" s="23"/>
      <c r="E671" s="23"/>
      <c r="F671" s="24"/>
      <c r="G671" s="24"/>
    </row>
    <row r="672" spans="2:7" ht="15.75" customHeight="1" x14ac:dyDescent="0.25">
      <c r="B672" s="23"/>
      <c r="C672" s="23"/>
      <c r="D672" s="23"/>
      <c r="E672" s="23"/>
      <c r="F672" s="24"/>
      <c r="G672" s="24"/>
    </row>
    <row r="673" spans="2:7" ht="15.75" customHeight="1" x14ac:dyDescent="0.25">
      <c r="B673" s="23"/>
      <c r="C673" s="23"/>
      <c r="D673" s="23"/>
      <c r="E673" s="23"/>
      <c r="F673" s="24"/>
      <c r="G673" s="24"/>
    </row>
    <row r="674" spans="2:7" ht="15.75" customHeight="1" x14ac:dyDescent="0.25">
      <c r="B674" s="23"/>
      <c r="C674" s="23"/>
      <c r="D674" s="23"/>
      <c r="E674" s="23"/>
      <c r="F674" s="24"/>
      <c r="G674" s="24"/>
    </row>
    <row r="675" spans="2:7" ht="15.75" customHeight="1" x14ac:dyDescent="0.25">
      <c r="B675" s="23"/>
      <c r="C675" s="23"/>
      <c r="D675" s="23"/>
      <c r="E675" s="23"/>
      <c r="F675" s="24"/>
      <c r="G675" s="24"/>
    </row>
    <row r="676" spans="2:7" ht="15.75" customHeight="1" x14ac:dyDescent="0.25">
      <c r="B676" s="23"/>
      <c r="C676" s="23"/>
      <c r="D676" s="23"/>
      <c r="E676" s="23"/>
      <c r="F676" s="24"/>
      <c r="G676" s="24"/>
    </row>
    <row r="677" spans="2:7" ht="15.75" customHeight="1" x14ac:dyDescent="0.25">
      <c r="B677" s="23"/>
      <c r="C677" s="23"/>
      <c r="D677" s="23"/>
      <c r="E677" s="23"/>
      <c r="F677" s="24"/>
      <c r="G677" s="24"/>
    </row>
    <row r="678" spans="2:7" ht="15.75" customHeight="1" x14ac:dyDescent="0.25">
      <c r="B678" s="23"/>
      <c r="C678" s="23"/>
      <c r="D678" s="23"/>
      <c r="E678" s="23"/>
      <c r="F678" s="24"/>
      <c r="G678" s="24"/>
    </row>
    <row r="679" spans="2:7" ht="15.75" customHeight="1" x14ac:dyDescent="0.25">
      <c r="B679" s="23"/>
      <c r="C679" s="23"/>
      <c r="D679" s="23"/>
      <c r="E679" s="23"/>
      <c r="F679" s="24"/>
      <c r="G679" s="24"/>
    </row>
    <row r="680" spans="2:7" ht="15.75" customHeight="1" x14ac:dyDescent="0.25">
      <c r="B680" s="23"/>
      <c r="C680" s="23"/>
      <c r="D680" s="23"/>
      <c r="E680" s="23"/>
      <c r="F680" s="24"/>
      <c r="G680" s="24"/>
    </row>
    <row r="681" spans="2:7" ht="15.75" customHeight="1" x14ac:dyDescent="0.25">
      <c r="B681" s="23"/>
      <c r="C681" s="23"/>
      <c r="D681" s="23"/>
      <c r="E681" s="23"/>
      <c r="F681" s="24"/>
      <c r="G681" s="24"/>
    </row>
    <row r="682" spans="2:7" ht="15.75" customHeight="1" x14ac:dyDescent="0.25">
      <c r="B682" s="23"/>
      <c r="C682" s="23"/>
      <c r="D682" s="23"/>
      <c r="E682" s="23"/>
      <c r="F682" s="24"/>
      <c r="G682" s="24"/>
    </row>
    <row r="683" spans="2:7" ht="15.75" customHeight="1" x14ac:dyDescent="0.25">
      <c r="B683" s="23"/>
      <c r="C683" s="23"/>
      <c r="D683" s="23"/>
      <c r="E683" s="23"/>
      <c r="F683" s="24"/>
      <c r="G683" s="24"/>
    </row>
    <row r="684" spans="2:7" ht="15.75" customHeight="1" x14ac:dyDescent="0.25">
      <c r="B684" s="23"/>
      <c r="C684" s="23"/>
      <c r="D684" s="23"/>
      <c r="E684" s="23"/>
      <c r="F684" s="24"/>
      <c r="G684" s="24"/>
    </row>
    <row r="685" spans="2:7" ht="15.75" customHeight="1" x14ac:dyDescent="0.25">
      <c r="B685" s="23"/>
      <c r="C685" s="23"/>
      <c r="D685" s="23"/>
      <c r="E685" s="23"/>
      <c r="F685" s="24"/>
      <c r="G685" s="24"/>
    </row>
    <row r="686" spans="2:7" ht="15.75" customHeight="1" x14ac:dyDescent="0.25">
      <c r="B686" s="23"/>
      <c r="C686" s="23"/>
      <c r="D686" s="23"/>
      <c r="E686" s="23"/>
      <c r="F686" s="24"/>
      <c r="G686" s="24"/>
    </row>
    <row r="687" spans="2:7" ht="15.75" customHeight="1" x14ac:dyDescent="0.25">
      <c r="B687" s="23"/>
      <c r="C687" s="23"/>
      <c r="D687" s="23"/>
      <c r="E687" s="23"/>
      <c r="F687" s="24"/>
      <c r="G687" s="24"/>
    </row>
    <row r="688" spans="2:7" ht="15.75" customHeight="1" x14ac:dyDescent="0.25">
      <c r="B688" s="23"/>
      <c r="C688" s="23"/>
      <c r="D688" s="23"/>
      <c r="E688" s="23"/>
      <c r="F688" s="24"/>
      <c r="G688" s="24"/>
    </row>
    <row r="689" spans="2:7" ht="15.75" customHeight="1" x14ac:dyDescent="0.25">
      <c r="B689" s="23"/>
      <c r="C689" s="23"/>
      <c r="D689" s="23"/>
      <c r="E689" s="23"/>
      <c r="F689" s="24"/>
      <c r="G689" s="24"/>
    </row>
    <row r="690" spans="2:7" ht="15.75" customHeight="1" x14ac:dyDescent="0.25">
      <c r="B690" s="23"/>
      <c r="C690" s="23"/>
      <c r="D690" s="23"/>
      <c r="E690" s="23"/>
      <c r="F690" s="24"/>
      <c r="G690" s="24"/>
    </row>
    <row r="691" spans="2:7" ht="15.75" customHeight="1" x14ac:dyDescent="0.25">
      <c r="B691" s="23"/>
      <c r="C691" s="23"/>
      <c r="D691" s="23"/>
      <c r="E691" s="23"/>
      <c r="F691" s="24"/>
      <c r="G691" s="24"/>
    </row>
    <row r="692" spans="2:7" ht="15.75" customHeight="1" x14ac:dyDescent="0.25">
      <c r="B692" s="23"/>
      <c r="C692" s="23"/>
      <c r="D692" s="23"/>
      <c r="E692" s="23"/>
      <c r="F692" s="24"/>
      <c r="G692" s="24"/>
    </row>
    <row r="693" spans="2:7" ht="15.75" customHeight="1" x14ac:dyDescent="0.25">
      <c r="B693" s="23"/>
      <c r="C693" s="23"/>
      <c r="D693" s="23"/>
      <c r="E693" s="23"/>
      <c r="F693" s="24"/>
      <c r="G693" s="24"/>
    </row>
    <row r="694" spans="2:7" ht="15.75" customHeight="1" x14ac:dyDescent="0.25">
      <c r="B694" s="23"/>
      <c r="C694" s="23"/>
      <c r="D694" s="23"/>
      <c r="E694" s="23"/>
      <c r="F694" s="24"/>
      <c r="G694" s="24"/>
    </row>
    <row r="695" spans="2:7" ht="15.75" customHeight="1" x14ac:dyDescent="0.25">
      <c r="B695" s="23"/>
      <c r="C695" s="23"/>
      <c r="D695" s="23"/>
      <c r="E695" s="23"/>
      <c r="F695" s="24"/>
      <c r="G695" s="24"/>
    </row>
    <row r="696" spans="2:7" ht="15.75" customHeight="1" x14ac:dyDescent="0.25">
      <c r="B696" s="23"/>
      <c r="C696" s="23"/>
      <c r="D696" s="23"/>
      <c r="E696" s="23"/>
      <c r="F696" s="24"/>
      <c r="G696" s="24"/>
    </row>
    <row r="697" spans="2:7" ht="15.75" customHeight="1" x14ac:dyDescent="0.25">
      <c r="B697" s="23"/>
      <c r="C697" s="23"/>
      <c r="D697" s="23"/>
      <c r="E697" s="23"/>
      <c r="F697" s="24"/>
      <c r="G697" s="24"/>
    </row>
    <row r="698" spans="2:7" ht="15.75" customHeight="1" x14ac:dyDescent="0.25">
      <c r="B698" s="23"/>
      <c r="C698" s="23"/>
      <c r="D698" s="23"/>
      <c r="E698" s="23"/>
      <c r="F698" s="24"/>
      <c r="G698" s="24"/>
    </row>
    <row r="699" spans="2:7" ht="15.75" customHeight="1" x14ac:dyDescent="0.25">
      <c r="B699" s="23"/>
      <c r="C699" s="23"/>
      <c r="D699" s="23"/>
      <c r="E699" s="23"/>
      <c r="F699" s="24"/>
      <c r="G699" s="24"/>
    </row>
    <row r="700" spans="2:7" ht="15.75" customHeight="1" x14ac:dyDescent="0.25">
      <c r="B700" s="23"/>
      <c r="C700" s="23"/>
      <c r="D700" s="23"/>
      <c r="E700" s="23"/>
      <c r="F700" s="24"/>
      <c r="G700" s="24"/>
    </row>
    <row r="701" spans="2:7" ht="15.75" customHeight="1" x14ac:dyDescent="0.25">
      <c r="B701" s="23"/>
      <c r="C701" s="23"/>
      <c r="D701" s="23"/>
      <c r="E701" s="23"/>
      <c r="F701" s="24"/>
      <c r="G701" s="24"/>
    </row>
    <row r="702" spans="2:7" ht="15.75" customHeight="1" x14ac:dyDescent="0.25">
      <c r="B702" s="23"/>
      <c r="C702" s="23"/>
      <c r="D702" s="23"/>
      <c r="E702" s="23"/>
      <c r="F702" s="24"/>
      <c r="G702" s="24"/>
    </row>
    <row r="703" spans="2:7" ht="15.75" customHeight="1" x14ac:dyDescent="0.25">
      <c r="B703" s="23"/>
      <c r="C703" s="23"/>
      <c r="D703" s="23"/>
      <c r="E703" s="23"/>
      <c r="F703" s="24"/>
      <c r="G703" s="24"/>
    </row>
    <row r="704" spans="2:7" ht="15.75" customHeight="1" x14ac:dyDescent="0.25">
      <c r="B704" s="23"/>
      <c r="C704" s="23"/>
      <c r="D704" s="23"/>
      <c r="E704" s="23"/>
      <c r="F704" s="24"/>
      <c r="G704" s="24"/>
    </row>
    <row r="705" spans="2:7" ht="15.75" customHeight="1" x14ac:dyDescent="0.25">
      <c r="B705" s="23"/>
      <c r="C705" s="23"/>
      <c r="D705" s="23"/>
      <c r="E705" s="23"/>
      <c r="F705" s="24"/>
      <c r="G705" s="24"/>
    </row>
    <row r="706" spans="2:7" ht="15.75" customHeight="1" x14ac:dyDescent="0.25">
      <c r="B706" s="23"/>
      <c r="C706" s="23"/>
      <c r="D706" s="23"/>
      <c r="E706" s="23"/>
      <c r="F706" s="24"/>
      <c r="G706" s="24"/>
    </row>
    <row r="707" spans="2:7" ht="15.75" customHeight="1" x14ac:dyDescent="0.25">
      <c r="B707" s="23"/>
      <c r="C707" s="23"/>
      <c r="D707" s="23"/>
      <c r="E707" s="23"/>
      <c r="F707" s="24"/>
      <c r="G707" s="24"/>
    </row>
    <row r="708" spans="2:7" ht="15.75" customHeight="1" x14ac:dyDescent="0.25">
      <c r="B708" s="23"/>
      <c r="C708" s="23"/>
      <c r="D708" s="23"/>
      <c r="E708" s="23"/>
      <c r="F708" s="24"/>
      <c r="G708" s="24"/>
    </row>
    <row r="709" spans="2:7" ht="15.75" customHeight="1" x14ac:dyDescent="0.25">
      <c r="B709" s="23"/>
      <c r="C709" s="23"/>
      <c r="D709" s="23"/>
      <c r="E709" s="23"/>
      <c r="F709" s="24"/>
      <c r="G709" s="24"/>
    </row>
    <row r="710" spans="2:7" ht="15.75" customHeight="1" x14ac:dyDescent="0.25">
      <c r="B710" s="23"/>
      <c r="C710" s="23"/>
      <c r="D710" s="23"/>
      <c r="E710" s="23"/>
      <c r="F710" s="24"/>
      <c r="G710" s="24"/>
    </row>
    <row r="711" spans="2:7" ht="15.75" customHeight="1" x14ac:dyDescent="0.25">
      <c r="B711" s="23"/>
      <c r="C711" s="23"/>
      <c r="D711" s="23"/>
      <c r="E711" s="23"/>
      <c r="F711" s="24"/>
      <c r="G711" s="24"/>
    </row>
    <row r="712" spans="2:7" ht="15.75" customHeight="1" x14ac:dyDescent="0.25">
      <c r="B712" s="23"/>
      <c r="C712" s="23"/>
      <c r="D712" s="23"/>
      <c r="E712" s="23"/>
      <c r="F712" s="24"/>
      <c r="G712" s="24"/>
    </row>
    <row r="713" spans="2:7" ht="15.75" customHeight="1" x14ac:dyDescent="0.25">
      <c r="B713" s="23"/>
      <c r="C713" s="23"/>
      <c r="D713" s="23"/>
      <c r="E713" s="23"/>
      <c r="F713" s="24"/>
      <c r="G713" s="24"/>
    </row>
    <row r="714" spans="2:7" ht="15.75" customHeight="1" x14ac:dyDescent="0.25">
      <c r="B714" s="23"/>
      <c r="C714" s="23"/>
      <c r="D714" s="23"/>
      <c r="E714" s="23"/>
      <c r="F714" s="24"/>
      <c r="G714" s="24"/>
    </row>
    <row r="715" spans="2:7" ht="15.75" customHeight="1" x14ac:dyDescent="0.25">
      <c r="B715" s="23"/>
      <c r="C715" s="23"/>
      <c r="D715" s="23"/>
      <c r="E715" s="23"/>
      <c r="F715" s="24"/>
      <c r="G715" s="24"/>
    </row>
    <row r="716" spans="2:7" ht="15.75" customHeight="1" x14ac:dyDescent="0.25">
      <c r="B716" s="23"/>
      <c r="C716" s="23"/>
      <c r="D716" s="23"/>
      <c r="E716" s="23"/>
      <c r="F716" s="24"/>
      <c r="G716" s="24"/>
    </row>
    <row r="717" spans="2:7" ht="15.75" customHeight="1" x14ac:dyDescent="0.25">
      <c r="B717" s="23"/>
      <c r="C717" s="23"/>
      <c r="D717" s="23"/>
      <c r="E717" s="23"/>
      <c r="F717" s="24"/>
      <c r="G717" s="24"/>
    </row>
    <row r="718" spans="2:7" ht="15.75" customHeight="1" x14ac:dyDescent="0.25">
      <c r="B718" s="23"/>
      <c r="C718" s="23"/>
      <c r="D718" s="23"/>
      <c r="E718" s="23"/>
      <c r="F718" s="24"/>
      <c r="G718" s="24"/>
    </row>
    <row r="719" spans="2:7" ht="15.75" customHeight="1" x14ac:dyDescent="0.25">
      <c r="B719" s="23"/>
      <c r="C719" s="23"/>
      <c r="D719" s="23"/>
      <c r="E719" s="23"/>
      <c r="F719" s="24"/>
      <c r="G719" s="24"/>
    </row>
    <row r="720" spans="2:7" ht="15.75" customHeight="1" x14ac:dyDescent="0.25">
      <c r="B720" s="23"/>
      <c r="C720" s="23"/>
      <c r="D720" s="23"/>
      <c r="E720" s="23"/>
      <c r="F720" s="24"/>
      <c r="G720" s="24"/>
    </row>
    <row r="721" spans="2:7" ht="15.75" customHeight="1" x14ac:dyDescent="0.25">
      <c r="B721" s="23"/>
      <c r="C721" s="23"/>
      <c r="D721" s="23"/>
      <c r="E721" s="23"/>
      <c r="F721" s="24"/>
      <c r="G721" s="24"/>
    </row>
    <row r="722" spans="2:7" ht="15.75" customHeight="1" x14ac:dyDescent="0.25">
      <c r="B722" s="23"/>
      <c r="C722" s="23"/>
      <c r="D722" s="23"/>
      <c r="E722" s="23"/>
      <c r="F722" s="24"/>
      <c r="G722" s="24"/>
    </row>
    <row r="723" spans="2:7" ht="15.75" customHeight="1" x14ac:dyDescent="0.25">
      <c r="B723" s="23"/>
      <c r="C723" s="23"/>
      <c r="D723" s="23"/>
      <c r="E723" s="23"/>
      <c r="F723" s="24"/>
      <c r="G723" s="24"/>
    </row>
    <row r="724" spans="2:7" ht="15.75" customHeight="1" x14ac:dyDescent="0.25">
      <c r="B724" s="23"/>
      <c r="C724" s="23"/>
      <c r="D724" s="23"/>
      <c r="E724" s="23"/>
      <c r="F724" s="24"/>
      <c r="G724" s="24"/>
    </row>
    <row r="725" spans="2:7" ht="15.75" customHeight="1" x14ac:dyDescent="0.25">
      <c r="B725" s="23"/>
      <c r="C725" s="23"/>
      <c r="D725" s="23"/>
      <c r="E725" s="23"/>
      <c r="F725" s="24"/>
      <c r="G725" s="24"/>
    </row>
    <row r="726" spans="2:7" ht="15.75" customHeight="1" x14ac:dyDescent="0.25">
      <c r="B726" s="23"/>
      <c r="C726" s="23"/>
      <c r="D726" s="23"/>
      <c r="E726" s="23"/>
      <c r="F726" s="24"/>
      <c r="G726" s="24"/>
    </row>
    <row r="727" spans="2:7" ht="15.75" customHeight="1" x14ac:dyDescent="0.25">
      <c r="B727" s="23"/>
      <c r="C727" s="23"/>
      <c r="D727" s="23"/>
      <c r="E727" s="23"/>
      <c r="F727" s="24"/>
      <c r="G727" s="24"/>
    </row>
    <row r="728" spans="2:7" ht="15.75" customHeight="1" x14ac:dyDescent="0.25">
      <c r="B728" s="23"/>
      <c r="C728" s="23"/>
      <c r="D728" s="23"/>
      <c r="E728" s="23"/>
      <c r="F728" s="24"/>
      <c r="G728" s="24"/>
    </row>
    <row r="729" spans="2:7" ht="15.75" customHeight="1" x14ac:dyDescent="0.25">
      <c r="B729" s="23"/>
      <c r="C729" s="23"/>
      <c r="D729" s="23"/>
      <c r="E729" s="23"/>
      <c r="F729" s="24"/>
      <c r="G729" s="24"/>
    </row>
    <row r="730" spans="2:7" ht="15.75" customHeight="1" x14ac:dyDescent="0.25">
      <c r="B730" s="23"/>
      <c r="C730" s="23"/>
      <c r="D730" s="23"/>
      <c r="E730" s="23"/>
      <c r="F730" s="24"/>
      <c r="G730" s="24"/>
    </row>
    <row r="731" spans="2:7" ht="15.75" customHeight="1" x14ac:dyDescent="0.25">
      <c r="B731" s="23"/>
      <c r="C731" s="23"/>
      <c r="D731" s="23"/>
      <c r="E731" s="23"/>
      <c r="F731" s="24"/>
      <c r="G731" s="24"/>
    </row>
    <row r="732" spans="2:7" ht="15.75" customHeight="1" x14ac:dyDescent="0.25">
      <c r="B732" s="23"/>
      <c r="C732" s="23"/>
      <c r="D732" s="23"/>
      <c r="E732" s="23"/>
      <c r="F732" s="24"/>
      <c r="G732" s="24"/>
    </row>
    <row r="733" spans="2:7" ht="15.75" customHeight="1" x14ac:dyDescent="0.25">
      <c r="B733" s="23"/>
      <c r="C733" s="23"/>
      <c r="D733" s="23"/>
      <c r="E733" s="23"/>
      <c r="F733" s="24"/>
      <c r="G733" s="24"/>
    </row>
    <row r="734" spans="2:7" ht="15.75" customHeight="1" x14ac:dyDescent="0.25">
      <c r="B734" s="23"/>
      <c r="C734" s="23"/>
      <c r="D734" s="23"/>
      <c r="E734" s="23"/>
      <c r="F734" s="24"/>
      <c r="G734" s="24"/>
    </row>
    <row r="735" spans="2:7" ht="15.75" customHeight="1" x14ac:dyDescent="0.25">
      <c r="B735" s="23"/>
      <c r="C735" s="23"/>
      <c r="D735" s="23"/>
      <c r="E735" s="23"/>
      <c r="F735" s="24"/>
      <c r="G735" s="24"/>
    </row>
    <row r="736" spans="2:7" ht="15.75" customHeight="1" x14ac:dyDescent="0.25">
      <c r="B736" s="23"/>
      <c r="C736" s="23"/>
      <c r="D736" s="23"/>
      <c r="E736" s="23"/>
      <c r="F736" s="24"/>
      <c r="G736" s="24"/>
    </row>
    <row r="737" spans="2:7" ht="15.75" customHeight="1" x14ac:dyDescent="0.25">
      <c r="B737" s="23"/>
      <c r="C737" s="23"/>
      <c r="D737" s="23"/>
      <c r="E737" s="23"/>
      <c r="F737" s="24"/>
      <c r="G737" s="24"/>
    </row>
    <row r="738" spans="2:7" ht="15.75" customHeight="1" x14ac:dyDescent="0.25">
      <c r="B738" s="23"/>
      <c r="C738" s="23"/>
      <c r="D738" s="23"/>
      <c r="E738" s="23"/>
      <c r="F738" s="24"/>
      <c r="G738" s="24"/>
    </row>
    <row r="739" spans="2:7" ht="15.75" customHeight="1" x14ac:dyDescent="0.25">
      <c r="B739" s="23"/>
      <c r="C739" s="23"/>
      <c r="D739" s="23"/>
      <c r="E739" s="23"/>
      <c r="F739" s="24"/>
      <c r="G739" s="24"/>
    </row>
    <row r="740" spans="2:7" ht="15.75" customHeight="1" x14ac:dyDescent="0.25">
      <c r="B740" s="23"/>
      <c r="C740" s="23"/>
      <c r="D740" s="23"/>
      <c r="E740" s="23"/>
      <c r="F740" s="24"/>
      <c r="G740" s="24"/>
    </row>
    <row r="741" spans="2:7" ht="15.75" customHeight="1" x14ac:dyDescent="0.25">
      <c r="B741" s="23"/>
      <c r="C741" s="23"/>
      <c r="D741" s="23"/>
      <c r="E741" s="23"/>
      <c r="F741" s="24"/>
      <c r="G741" s="24"/>
    </row>
    <row r="742" spans="2:7" ht="15.75" customHeight="1" x14ac:dyDescent="0.25">
      <c r="B742" s="23"/>
      <c r="C742" s="23"/>
      <c r="D742" s="23"/>
      <c r="E742" s="23"/>
      <c r="F742" s="24"/>
      <c r="G742" s="24"/>
    </row>
    <row r="743" spans="2:7" ht="15.75" customHeight="1" x14ac:dyDescent="0.25">
      <c r="B743" s="23"/>
      <c r="C743" s="23"/>
      <c r="D743" s="23"/>
      <c r="E743" s="23"/>
      <c r="F743" s="24"/>
      <c r="G743" s="24"/>
    </row>
    <row r="744" spans="2:7" ht="15.75" customHeight="1" x14ac:dyDescent="0.25">
      <c r="B744" s="23"/>
      <c r="C744" s="23"/>
      <c r="D744" s="23"/>
      <c r="E744" s="23"/>
      <c r="F744" s="24"/>
      <c r="G744" s="24"/>
    </row>
    <row r="745" spans="2:7" ht="15.75" customHeight="1" x14ac:dyDescent="0.25">
      <c r="B745" s="23"/>
      <c r="C745" s="23"/>
      <c r="D745" s="23"/>
      <c r="E745" s="23"/>
      <c r="F745" s="24"/>
      <c r="G745" s="24"/>
    </row>
    <row r="746" spans="2:7" ht="15.75" customHeight="1" x14ac:dyDescent="0.25">
      <c r="B746" s="23"/>
      <c r="C746" s="23"/>
      <c r="D746" s="23"/>
      <c r="E746" s="23"/>
      <c r="F746" s="24"/>
      <c r="G746" s="24"/>
    </row>
    <row r="747" spans="2:7" ht="15.75" customHeight="1" x14ac:dyDescent="0.25">
      <c r="B747" s="23"/>
      <c r="C747" s="23"/>
      <c r="D747" s="23"/>
      <c r="E747" s="23"/>
      <c r="F747" s="24"/>
      <c r="G747" s="24"/>
    </row>
    <row r="748" spans="2:7" ht="15.75" customHeight="1" x14ac:dyDescent="0.25">
      <c r="B748" s="23"/>
      <c r="C748" s="23"/>
      <c r="D748" s="23"/>
      <c r="E748" s="23"/>
      <c r="F748" s="24"/>
      <c r="G748" s="24"/>
    </row>
    <row r="749" spans="2:7" ht="15.75" customHeight="1" x14ac:dyDescent="0.25">
      <c r="B749" s="23"/>
      <c r="C749" s="23"/>
      <c r="D749" s="23"/>
      <c r="E749" s="23"/>
      <c r="F749" s="24"/>
      <c r="G749" s="24"/>
    </row>
    <row r="750" spans="2:7" ht="15.75" customHeight="1" x14ac:dyDescent="0.25">
      <c r="B750" s="23"/>
      <c r="C750" s="23"/>
      <c r="D750" s="23"/>
      <c r="E750" s="23"/>
      <c r="F750" s="24"/>
      <c r="G750" s="24"/>
    </row>
    <row r="751" spans="2:7" ht="15.75" customHeight="1" x14ac:dyDescent="0.25">
      <c r="B751" s="23"/>
      <c r="C751" s="23"/>
      <c r="D751" s="23"/>
      <c r="E751" s="23"/>
      <c r="F751" s="24"/>
      <c r="G751" s="24"/>
    </row>
    <row r="752" spans="2:7" ht="15.75" customHeight="1" x14ac:dyDescent="0.25">
      <c r="B752" s="23"/>
      <c r="C752" s="23"/>
      <c r="D752" s="23"/>
      <c r="E752" s="23"/>
      <c r="F752" s="24"/>
      <c r="G752" s="24"/>
    </row>
    <row r="753" spans="2:7" ht="15.75" customHeight="1" x14ac:dyDescent="0.25">
      <c r="B753" s="23"/>
      <c r="C753" s="23"/>
      <c r="D753" s="23"/>
      <c r="E753" s="23"/>
      <c r="F753" s="24"/>
      <c r="G753" s="24"/>
    </row>
    <row r="754" spans="2:7" ht="15.75" customHeight="1" x14ac:dyDescent="0.25">
      <c r="B754" s="23"/>
      <c r="C754" s="23"/>
      <c r="D754" s="23"/>
      <c r="E754" s="23"/>
      <c r="F754" s="24"/>
      <c r="G754" s="24"/>
    </row>
    <row r="755" spans="2:7" ht="15.75" customHeight="1" x14ac:dyDescent="0.25">
      <c r="B755" s="23"/>
      <c r="C755" s="23"/>
      <c r="D755" s="23"/>
      <c r="E755" s="23"/>
      <c r="F755" s="24"/>
      <c r="G755" s="24"/>
    </row>
    <row r="756" spans="2:7" ht="15.75" customHeight="1" x14ac:dyDescent="0.25">
      <c r="B756" s="23"/>
      <c r="C756" s="23"/>
      <c r="D756" s="23"/>
      <c r="E756" s="23"/>
      <c r="F756" s="24"/>
      <c r="G756" s="24"/>
    </row>
    <row r="757" spans="2:7" ht="15.75" customHeight="1" x14ac:dyDescent="0.25">
      <c r="B757" s="23"/>
      <c r="C757" s="23"/>
      <c r="D757" s="23"/>
      <c r="E757" s="23"/>
      <c r="F757" s="24"/>
      <c r="G757" s="24"/>
    </row>
    <row r="758" spans="2:7" ht="15.75" customHeight="1" x14ac:dyDescent="0.25">
      <c r="B758" s="23"/>
      <c r="C758" s="23"/>
      <c r="D758" s="23"/>
      <c r="E758" s="23"/>
      <c r="F758" s="24"/>
      <c r="G758" s="24"/>
    </row>
    <row r="759" spans="2:7" ht="15.75" customHeight="1" x14ac:dyDescent="0.25">
      <c r="B759" s="23"/>
      <c r="C759" s="23"/>
      <c r="D759" s="23"/>
      <c r="E759" s="23"/>
      <c r="F759" s="24"/>
      <c r="G759" s="24"/>
    </row>
    <row r="760" spans="2:7" ht="15.75" customHeight="1" x14ac:dyDescent="0.25">
      <c r="B760" s="23"/>
      <c r="C760" s="23"/>
      <c r="D760" s="23"/>
      <c r="E760" s="23"/>
      <c r="F760" s="24"/>
      <c r="G760" s="24"/>
    </row>
    <row r="761" spans="2:7" ht="15.75" customHeight="1" x14ac:dyDescent="0.25">
      <c r="B761" s="23"/>
      <c r="C761" s="23"/>
      <c r="D761" s="23"/>
      <c r="E761" s="23"/>
      <c r="F761" s="24"/>
      <c r="G761" s="24"/>
    </row>
    <row r="762" spans="2:7" ht="15.75" customHeight="1" x14ac:dyDescent="0.25">
      <c r="B762" s="23"/>
      <c r="C762" s="23"/>
      <c r="D762" s="23"/>
      <c r="E762" s="23"/>
      <c r="F762" s="24"/>
      <c r="G762" s="24"/>
    </row>
    <row r="763" spans="2:7" ht="15.75" customHeight="1" x14ac:dyDescent="0.25">
      <c r="B763" s="23"/>
      <c r="C763" s="23"/>
      <c r="D763" s="23"/>
      <c r="E763" s="23"/>
      <c r="F763" s="24"/>
      <c r="G763" s="24"/>
    </row>
    <row r="764" spans="2:7" ht="15.75" customHeight="1" x14ac:dyDescent="0.25">
      <c r="B764" s="23"/>
      <c r="C764" s="23"/>
      <c r="D764" s="23"/>
      <c r="E764" s="23"/>
      <c r="F764" s="24"/>
      <c r="G764" s="24"/>
    </row>
    <row r="765" spans="2:7" ht="15.75" customHeight="1" x14ac:dyDescent="0.25">
      <c r="B765" s="23"/>
      <c r="C765" s="23"/>
      <c r="D765" s="23"/>
      <c r="E765" s="23"/>
      <c r="F765" s="24"/>
      <c r="G765" s="24"/>
    </row>
    <row r="766" spans="2:7" ht="15.75" customHeight="1" x14ac:dyDescent="0.25">
      <c r="B766" s="23"/>
      <c r="C766" s="23"/>
      <c r="D766" s="23"/>
      <c r="E766" s="23"/>
      <c r="F766" s="24"/>
      <c r="G766" s="24"/>
    </row>
    <row r="767" spans="2:7" ht="15.75" customHeight="1" x14ac:dyDescent="0.25">
      <c r="B767" s="23"/>
      <c r="C767" s="23"/>
      <c r="D767" s="23"/>
      <c r="E767" s="23"/>
      <c r="F767" s="24"/>
      <c r="G767" s="24"/>
    </row>
    <row r="768" spans="2:7" ht="15.75" customHeight="1" x14ac:dyDescent="0.25">
      <c r="B768" s="23"/>
      <c r="C768" s="23"/>
      <c r="D768" s="23"/>
      <c r="E768" s="23"/>
      <c r="F768" s="24"/>
      <c r="G768" s="24"/>
    </row>
    <row r="769" spans="2:7" ht="15.75" customHeight="1" x14ac:dyDescent="0.25">
      <c r="B769" s="23"/>
      <c r="C769" s="23"/>
      <c r="D769" s="23"/>
      <c r="E769" s="23"/>
      <c r="F769" s="24"/>
      <c r="G769" s="24"/>
    </row>
    <row r="770" spans="2:7" ht="15.75" customHeight="1" x14ac:dyDescent="0.25">
      <c r="B770" s="23"/>
      <c r="C770" s="23"/>
      <c r="D770" s="23"/>
      <c r="E770" s="23"/>
      <c r="F770" s="24"/>
      <c r="G770" s="24"/>
    </row>
    <row r="771" spans="2:7" ht="15.75" customHeight="1" x14ac:dyDescent="0.25">
      <c r="B771" s="23"/>
      <c r="C771" s="23"/>
      <c r="D771" s="23"/>
      <c r="E771" s="23"/>
      <c r="F771" s="24"/>
      <c r="G771" s="24"/>
    </row>
    <row r="772" spans="2:7" ht="15.75" customHeight="1" x14ac:dyDescent="0.25">
      <c r="B772" s="23"/>
      <c r="C772" s="23"/>
      <c r="D772" s="23"/>
      <c r="E772" s="23"/>
      <c r="F772" s="24"/>
      <c r="G772" s="24"/>
    </row>
    <row r="773" spans="2:7" ht="15.75" customHeight="1" x14ac:dyDescent="0.25">
      <c r="B773" s="23"/>
      <c r="C773" s="23"/>
      <c r="D773" s="23"/>
      <c r="E773" s="23"/>
      <c r="F773" s="24"/>
      <c r="G773" s="24"/>
    </row>
    <row r="774" spans="2:7" ht="15.75" customHeight="1" x14ac:dyDescent="0.25">
      <c r="B774" s="23"/>
      <c r="C774" s="23"/>
      <c r="D774" s="23"/>
      <c r="E774" s="23"/>
      <c r="F774" s="24"/>
      <c r="G774" s="24"/>
    </row>
    <row r="775" spans="2:7" ht="15.75" customHeight="1" x14ac:dyDescent="0.25">
      <c r="B775" s="23"/>
      <c r="C775" s="23"/>
      <c r="D775" s="23"/>
      <c r="E775" s="23"/>
      <c r="F775" s="24"/>
      <c r="G775" s="24"/>
    </row>
    <row r="776" spans="2:7" ht="15.75" customHeight="1" x14ac:dyDescent="0.25">
      <c r="B776" s="23"/>
      <c r="C776" s="23"/>
      <c r="D776" s="23"/>
      <c r="E776" s="23"/>
      <c r="F776" s="24"/>
      <c r="G776" s="24"/>
    </row>
    <row r="777" spans="2:7" ht="15.75" customHeight="1" x14ac:dyDescent="0.25">
      <c r="B777" s="23"/>
      <c r="C777" s="23"/>
      <c r="D777" s="23"/>
      <c r="E777" s="23"/>
      <c r="F777" s="24"/>
      <c r="G777" s="24"/>
    </row>
    <row r="778" spans="2:7" ht="15.75" customHeight="1" x14ac:dyDescent="0.25">
      <c r="B778" s="23"/>
      <c r="C778" s="23"/>
      <c r="D778" s="23"/>
      <c r="E778" s="23"/>
      <c r="F778" s="24"/>
      <c r="G778" s="24"/>
    </row>
    <row r="779" spans="2:7" ht="15.75" customHeight="1" x14ac:dyDescent="0.25">
      <c r="B779" s="23"/>
      <c r="C779" s="23"/>
      <c r="D779" s="23"/>
      <c r="E779" s="23"/>
      <c r="F779" s="24"/>
      <c r="G779" s="24"/>
    </row>
    <row r="780" spans="2:7" ht="15.75" customHeight="1" x14ac:dyDescent="0.25">
      <c r="B780" s="23"/>
      <c r="C780" s="23"/>
      <c r="D780" s="23"/>
      <c r="E780" s="23"/>
      <c r="F780" s="24"/>
      <c r="G780" s="24"/>
    </row>
    <row r="781" spans="2:7" ht="15.75" customHeight="1" x14ac:dyDescent="0.25">
      <c r="B781" s="23"/>
      <c r="C781" s="23"/>
      <c r="D781" s="23"/>
      <c r="E781" s="23"/>
      <c r="F781" s="24"/>
      <c r="G781" s="24"/>
    </row>
    <row r="782" spans="2:7" ht="15.75" customHeight="1" x14ac:dyDescent="0.25">
      <c r="B782" s="23"/>
      <c r="C782" s="23"/>
      <c r="D782" s="23"/>
      <c r="E782" s="23"/>
      <c r="F782" s="24"/>
      <c r="G782" s="24"/>
    </row>
    <row r="783" spans="2:7" ht="15.75" customHeight="1" x14ac:dyDescent="0.25">
      <c r="B783" s="23"/>
      <c r="C783" s="23"/>
      <c r="D783" s="23"/>
      <c r="E783" s="23"/>
      <c r="F783" s="24"/>
      <c r="G783" s="24"/>
    </row>
    <row r="784" spans="2:7" ht="15.75" customHeight="1" x14ac:dyDescent="0.25">
      <c r="B784" s="23"/>
      <c r="C784" s="23"/>
      <c r="D784" s="23"/>
      <c r="E784" s="23"/>
      <c r="F784" s="24"/>
      <c r="G784" s="24"/>
    </row>
    <row r="785" spans="2:7" ht="15.75" customHeight="1" x14ac:dyDescent="0.25">
      <c r="B785" s="23"/>
      <c r="C785" s="23"/>
      <c r="D785" s="23"/>
      <c r="E785" s="23"/>
      <c r="F785" s="24"/>
      <c r="G785" s="24"/>
    </row>
    <row r="786" spans="2:7" ht="15.75" customHeight="1" x14ac:dyDescent="0.25">
      <c r="B786" s="23"/>
      <c r="C786" s="23"/>
      <c r="D786" s="23"/>
      <c r="E786" s="23"/>
      <c r="F786" s="24"/>
      <c r="G786" s="24"/>
    </row>
    <row r="787" spans="2:7" ht="15.75" customHeight="1" x14ac:dyDescent="0.25">
      <c r="B787" s="23"/>
      <c r="C787" s="23"/>
      <c r="D787" s="23"/>
      <c r="E787" s="23"/>
      <c r="F787" s="24"/>
      <c r="G787" s="24"/>
    </row>
    <row r="788" spans="2:7" ht="15.75" customHeight="1" x14ac:dyDescent="0.25">
      <c r="B788" s="23"/>
      <c r="C788" s="23"/>
      <c r="D788" s="23"/>
      <c r="E788" s="23"/>
      <c r="F788" s="24"/>
      <c r="G788" s="24"/>
    </row>
    <row r="789" spans="2:7" ht="15.75" customHeight="1" x14ac:dyDescent="0.25">
      <c r="B789" s="23"/>
      <c r="C789" s="23"/>
      <c r="D789" s="23"/>
      <c r="E789" s="23"/>
      <c r="F789" s="24"/>
      <c r="G789" s="24"/>
    </row>
    <row r="790" spans="2:7" ht="15.75" customHeight="1" x14ac:dyDescent="0.25">
      <c r="B790" s="23"/>
      <c r="C790" s="23"/>
      <c r="D790" s="23"/>
      <c r="E790" s="23"/>
      <c r="F790" s="24"/>
      <c r="G790" s="24"/>
    </row>
    <row r="791" spans="2:7" ht="15.75" customHeight="1" x14ac:dyDescent="0.25">
      <c r="B791" s="23"/>
      <c r="C791" s="23"/>
      <c r="D791" s="23"/>
      <c r="E791" s="23"/>
      <c r="F791" s="24"/>
      <c r="G791" s="24"/>
    </row>
    <row r="792" spans="2:7" ht="15.75" customHeight="1" x14ac:dyDescent="0.25">
      <c r="B792" s="23"/>
      <c r="C792" s="23"/>
      <c r="D792" s="23"/>
      <c r="E792" s="23"/>
      <c r="F792" s="24"/>
      <c r="G792" s="24"/>
    </row>
    <row r="793" spans="2:7" ht="15.75" customHeight="1" x14ac:dyDescent="0.25">
      <c r="B793" s="23"/>
      <c r="C793" s="23"/>
      <c r="D793" s="23"/>
      <c r="E793" s="23"/>
      <c r="F793" s="24"/>
      <c r="G793" s="24"/>
    </row>
    <row r="794" spans="2:7" ht="15.75" customHeight="1" x14ac:dyDescent="0.25">
      <c r="B794" s="23"/>
      <c r="C794" s="23"/>
      <c r="D794" s="23"/>
      <c r="E794" s="23"/>
      <c r="F794" s="24"/>
      <c r="G794" s="24"/>
    </row>
    <row r="795" spans="2:7" ht="15.75" customHeight="1" x14ac:dyDescent="0.25">
      <c r="B795" s="23"/>
      <c r="C795" s="23"/>
      <c r="D795" s="23"/>
      <c r="E795" s="23"/>
      <c r="F795" s="24"/>
      <c r="G795" s="24"/>
    </row>
    <row r="796" spans="2:7" ht="15.75" customHeight="1" x14ac:dyDescent="0.25">
      <c r="B796" s="23"/>
      <c r="C796" s="23"/>
      <c r="D796" s="23"/>
      <c r="E796" s="23"/>
      <c r="F796" s="24"/>
      <c r="G796" s="24"/>
    </row>
    <row r="797" spans="2:7" ht="15.75" customHeight="1" x14ac:dyDescent="0.25">
      <c r="B797" s="23"/>
      <c r="C797" s="23"/>
      <c r="D797" s="23"/>
      <c r="E797" s="23"/>
      <c r="F797" s="24"/>
      <c r="G797" s="24"/>
    </row>
    <row r="798" spans="2:7" ht="15.75" customHeight="1" x14ac:dyDescent="0.25">
      <c r="B798" s="23"/>
      <c r="C798" s="23"/>
      <c r="D798" s="23"/>
      <c r="E798" s="23"/>
      <c r="F798" s="24"/>
      <c r="G798" s="24"/>
    </row>
    <row r="799" spans="2:7" ht="15.75" customHeight="1" x14ac:dyDescent="0.25">
      <c r="B799" s="23"/>
      <c r="C799" s="23"/>
      <c r="D799" s="23"/>
      <c r="E799" s="23"/>
      <c r="F799" s="24"/>
      <c r="G799" s="24"/>
    </row>
    <row r="800" spans="2:7" ht="15.75" customHeight="1" x14ac:dyDescent="0.25">
      <c r="B800" s="23"/>
      <c r="C800" s="23"/>
      <c r="D800" s="23"/>
      <c r="E800" s="23"/>
      <c r="F800" s="24"/>
      <c r="G800" s="24"/>
    </row>
    <row r="801" spans="2:7" ht="15.75" customHeight="1" x14ac:dyDescent="0.25">
      <c r="B801" s="23"/>
      <c r="C801" s="23"/>
      <c r="D801" s="23"/>
      <c r="E801" s="23"/>
      <c r="F801" s="24"/>
      <c r="G801" s="24"/>
    </row>
    <row r="802" spans="2:7" ht="15.75" customHeight="1" x14ac:dyDescent="0.25">
      <c r="B802" s="23"/>
      <c r="C802" s="23"/>
      <c r="D802" s="23"/>
      <c r="E802" s="23"/>
      <c r="F802" s="24"/>
      <c r="G802" s="24"/>
    </row>
    <row r="803" spans="2:7" ht="15.75" customHeight="1" x14ac:dyDescent="0.25">
      <c r="B803" s="23"/>
      <c r="C803" s="23"/>
      <c r="D803" s="23"/>
      <c r="E803" s="23"/>
      <c r="F803" s="24"/>
      <c r="G803" s="24"/>
    </row>
    <row r="804" spans="2:7" ht="15.75" customHeight="1" x14ac:dyDescent="0.25">
      <c r="B804" s="23"/>
      <c r="C804" s="23"/>
      <c r="D804" s="23"/>
      <c r="E804" s="23"/>
      <c r="F804" s="24"/>
      <c r="G804" s="24"/>
    </row>
    <row r="805" spans="2:7" ht="15.75" customHeight="1" x14ac:dyDescent="0.25">
      <c r="B805" s="23"/>
      <c r="C805" s="23"/>
      <c r="D805" s="23"/>
      <c r="E805" s="23"/>
      <c r="F805" s="24"/>
      <c r="G805" s="24"/>
    </row>
    <row r="806" spans="2:7" ht="15.75" customHeight="1" x14ac:dyDescent="0.25">
      <c r="B806" s="23"/>
      <c r="C806" s="23"/>
      <c r="D806" s="23"/>
      <c r="E806" s="23"/>
      <c r="F806" s="24"/>
      <c r="G806" s="24"/>
    </row>
    <row r="807" spans="2:7" ht="15.75" customHeight="1" x14ac:dyDescent="0.25">
      <c r="B807" s="23"/>
      <c r="C807" s="23"/>
      <c r="D807" s="23"/>
      <c r="E807" s="23"/>
      <c r="F807" s="24"/>
      <c r="G807" s="24"/>
    </row>
    <row r="808" spans="2:7" ht="15.75" customHeight="1" x14ac:dyDescent="0.25">
      <c r="B808" s="23"/>
      <c r="C808" s="23"/>
      <c r="D808" s="23"/>
      <c r="E808" s="23"/>
      <c r="F808" s="24"/>
      <c r="G808" s="24"/>
    </row>
    <row r="809" spans="2:7" ht="15.75" customHeight="1" x14ac:dyDescent="0.25">
      <c r="B809" s="23"/>
      <c r="C809" s="23"/>
      <c r="D809" s="23"/>
      <c r="E809" s="23"/>
      <c r="F809" s="24"/>
      <c r="G809" s="24"/>
    </row>
    <row r="810" spans="2:7" ht="15.75" customHeight="1" x14ac:dyDescent="0.25">
      <c r="B810" s="23"/>
      <c r="C810" s="23"/>
      <c r="D810" s="23"/>
      <c r="E810" s="23"/>
      <c r="F810" s="24"/>
      <c r="G810" s="24"/>
    </row>
    <row r="811" spans="2:7" ht="15.75" customHeight="1" x14ac:dyDescent="0.25">
      <c r="B811" s="23"/>
      <c r="C811" s="23"/>
      <c r="D811" s="23"/>
      <c r="E811" s="23"/>
      <c r="F811" s="24"/>
      <c r="G811" s="24"/>
    </row>
    <row r="812" spans="2:7" ht="15.75" customHeight="1" x14ac:dyDescent="0.25">
      <c r="B812" s="23"/>
      <c r="C812" s="23"/>
      <c r="D812" s="23"/>
      <c r="E812" s="23"/>
      <c r="F812" s="24"/>
      <c r="G812" s="24"/>
    </row>
    <row r="813" spans="2:7" ht="15.75" customHeight="1" x14ac:dyDescent="0.25">
      <c r="B813" s="23"/>
      <c r="C813" s="23"/>
      <c r="D813" s="23"/>
      <c r="E813" s="23"/>
      <c r="F813" s="24"/>
      <c r="G813" s="24"/>
    </row>
    <row r="814" spans="2:7" ht="15.75" customHeight="1" x14ac:dyDescent="0.25">
      <c r="B814" s="23"/>
      <c r="C814" s="23"/>
      <c r="D814" s="23"/>
      <c r="E814" s="23"/>
      <c r="F814" s="24"/>
      <c r="G814" s="24"/>
    </row>
    <row r="815" spans="2:7" ht="15.75" customHeight="1" x14ac:dyDescent="0.25">
      <c r="B815" s="23"/>
      <c r="C815" s="23"/>
      <c r="D815" s="23"/>
      <c r="E815" s="23"/>
      <c r="F815" s="24"/>
      <c r="G815" s="24"/>
    </row>
    <row r="816" spans="2:7" ht="15.75" customHeight="1" x14ac:dyDescent="0.25">
      <c r="B816" s="23"/>
      <c r="C816" s="23"/>
      <c r="D816" s="23"/>
      <c r="E816" s="23"/>
      <c r="F816" s="24"/>
      <c r="G816" s="24"/>
    </row>
    <row r="817" spans="2:7" ht="15.75" customHeight="1" x14ac:dyDescent="0.25">
      <c r="B817" s="23"/>
      <c r="C817" s="23"/>
      <c r="D817" s="23"/>
      <c r="E817" s="23"/>
      <c r="F817" s="24"/>
      <c r="G817" s="24"/>
    </row>
    <row r="818" spans="2:7" ht="15.75" customHeight="1" x14ac:dyDescent="0.25">
      <c r="B818" s="23"/>
      <c r="C818" s="23"/>
      <c r="D818" s="23"/>
      <c r="E818" s="23"/>
      <c r="F818" s="24"/>
      <c r="G818" s="24"/>
    </row>
    <row r="819" spans="2:7" ht="15.75" customHeight="1" x14ac:dyDescent="0.25">
      <c r="B819" s="23"/>
      <c r="C819" s="23"/>
      <c r="D819" s="23"/>
      <c r="E819" s="23"/>
      <c r="F819" s="24"/>
      <c r="G819" s="24"/>
    </row>
    <row r="820" spans="2:7" ht="15.75" customHeight="1" x14ac:dyDescent="0.25">
      <c r="B820" s="23"/>
      <c r="C820" s="23"/>
      <c r="D820" s="23"/>
      <c r="E820" s="23"/>
      <c r="F820" s="24"/>
      <c r="G820" s="24"/>
    </row>
    <row r="821" spans="2:7" ht="15.75" customHeight="1" x14ac:dyDescent="0.25">
      <c r="B821" s="23"/>
      <c r="C821" s="23"/>
      <c r="D821" s="23"/>
      <c r="E821" s="23"/>
      <c r="F821" s="24"/>
      <c r="G821" s="24"/>
    </row>
    <row r="822" spans="2:7" ht="15.75" customHeight="1" x14ac:dyDescent="0.25">
      <c r="B822" s="23"/>
      <c r="C822" s="23"/>
      <c r="D822" s="23"/>
      <c r="E822" s="23"/>
      <c r="F822" s="24"/>
      <c r="G822" s="24"/>
    </row>
    <row r="823" spans="2:7" ht="15.75" customHeight="1" x14ac:dyDescent="0.25">
      <c r="B823" s="23"/>
      <c r="C823" s="23"/>
      <c r="D823" s="23"/>
      <c r="E823" s="23"/>
      <c r="F823" s="24"/>
      <c r="G823" s="24"/>
    </row>
    <row r="824" spans="2:7" ht="15.75" customHeight="1" x14ac:dyDescent="0.25">
      <c r="B824" s="23"/>
      <c r="C824" s="23"/>
      <c r="D824" s="23"/>
      <c r="E824" s="23"/>
      <c r="F824" s="24"/>
      <c r="G824" s="24"/>
    </row>
    <row r="825" spans="2:7" ht="15.75" customHeight="1" x14ac:dyDescent="0.25">
      <c r="B825" s="23"/>
      <c r="C825" s="23"/>
      <c r="D825" s="23"/>
      <c r="E825" s="23"/>
      <c r="F825" s="24"/>
      <c r="G825" s="24"/>
    </row>
    <row r="826" spans="2:7" ht="15.75" customHeight="1" x14ac:dyDescent="0.25">
      <c r="B826" s="23"/>
      <c r="C826" s="23"/>
      <c r="D826" s="23"/>
      <c r="E826" s="23"/>
      <c r="F826" s="24"/>
      <c r="G826" s="24"/>
    </row>
    <row r="827" spans="2:7" ht="15.75" customHeight="1" x14ac:dyDescent="0.25">
      <c r="B827" s="23"/>
      <c r="C827" s="23"/>
      <c r="D827" s="23"/>
      <c r="E827" s="23"/>
      <c r="F827" s="24"/>
      <c r="G827" s="24"/>
    </row>
    <row r="828" spans="2:7" ht="15.75" customHeight="1" x14ac:dyDescent="0.25">
      <c r="B828" s="23"/>
      <c r="C828" s="23"/>
      <c r="D828" s="23"/>
      <c r="E828" s="23"/>
      <c r="F828" s="24"/>
      <c r="G828" s="24"/>
    </row>
    <row r="829" spans="2:7" ht="15.75" customHeight="1" x14ac:dyDescent="0.25">
      <c r="B829" s="23"/>
      <c r="C829" s="23"/>
      <c r="D829" s="23"/>
      <c r="E829" s="23"/>
      <c r="F829" s="24"/>
      <c r="G829" s="24"/>
    </row>
    <row r="830" spans="2:7" ht="15.75" customHeight="1" x14ac:dyDescent="0.25">
      <c r="B830" s="23"/>
      <c r="C830" s="23"/>
      <c r="D830" s="23"/>
      <c r="E830" s="23"/>
      <c r="F830" s="24"/>
      <c r="G830" s="24"/>
    </row>
    <row r="831" spans="2:7" ht="15.75" customHeight="1" x14ac:dyDescent="0.25">
      <c r="B831" s="23"/>
      <c r="C831" s="23"/>
      <c r="D831" s="23"/>
      <c r="E831" s="23"/>
      <c r="F831" s="24"/>
      <c r="G831" s="24"/>
    </row>
    <row r="832" spans="2:7" ht="15.75" customHeight="1" x14ac:dyDescent="0.25">
      <c r="B832" s="23"/>
      <c r="C832" s="23"/>
      <c r="D832" s="23"/>
      <c r="E832" s="23"/>
      <c r="F832" s="24"/>
      <c r="G832" s="24"/>
    </row>
    <row r="833" spans="2:7" ht="15.75" customHeight="1" x14ac:dyDescent="0.25">
      <c r="B833" s="23"/>
      <c r="C833" s="23"/>
      <c r="D833" s="23"/>
      <c r="E833" s="23"/>
      <c r="F833" s="24"/>
      <c r="G833" s="24"/>
    </row>
    <row r="834" spans="2:7" ht="15.75" customHeight="1" x14ac:dyDescent="0.25">
      <c r="B834" s="23"/>
      <c r="C834" s="23"/>
      <c r="D834" s="23"/>
      <c r="E834" s="23"/>
      <c r="F834" s="24"/>
      <c r="G834" s="24"/>
    </row>
    <row r="835" spans="2:7" ht="15.75" customHeight="1" x14ac:dyDescent="0.25">
      <c r="B835" s="23"/>
      <c r="C835" s="23"/>
      <c r="D835" s="23"/>
      <c r="E835" s="23"/>
      <c r="F835" s="24"/>
      <c r="G835" s="24"/>
    </row>
    <row r="836" spans="2:7" ht="15.75" customHeight="1" x14ac:dyDescent="0.25">
      <c r="B836" s="23"/>
      <c r="C836" s="23"/>
      <c r="D836" s="23"/>
      <c r="E836" s="23"/>
      <c r="F836" s="24"/>
      <c r="G836" s="24"/>
    </row>
    <row r="837" spans="2:7" ht="15.75" customHeight="1" x14ac:dyDescent="0.25">
      <c r="B837" s="23"/>
      <c r="C837" s="23"/>
      <c r="D837" s="23"/>
      <c r="E837" s="23"/>
      <c r="F837" s="24"/>
      <c r="G837" s="24"/>
    </row>
    <row r="838" spans="2:7" ht="15.75" customHeight="1" x14ac:dyDescent="0.25">
      <c r="B838" s="23"/>
      <c r="C838" s="23"/>
      <c r="D838" s="23"/>
      <c r="E838" s="23"/>
      <c r="F838" s="24"/>
      <c r="G838" s="24"/>
    </row>
    <row r="839" spans="2:7" ht="15.75" customHeight="1" x14ac:dyDescent="0.25">
      <c r="B839" s="23"/>
      <c r="C839" s="23"/>
      <c r="D839" s="23"/>
      <c r="E839" s="23"/>
      <c r="F839" s="24"/>
      <c r="G839" s="24"/>
    </row>
    <row r="840" spans="2:7" ht="15.75" customHeight="1" x14ac:dyDescent="0.25">
      <c r="B840" s="23"/>
      <c r="C840" s="23"/>
      <c r="D840" s="23"/>
      <c r="E840" s="23"/>
      <c r="F840" s="24"/>
      <c r="G840" s="24"/>
    </row>
    <row r="841" spans="2:7" ht="15.75" customHeight="1" x14ac:dyDescent="0.25">
      <c r="B841" s="23"/>
      <c r="C841" s="23"/>
      <c r="D841" s="23"/>
      <c r="E841" s="23"/>
      <c r="F841" s="24"/>
      <c r="G841" s="24"/>
    </row>
    <row r="842" spans="2:7" ht="15.75" customHeight="1" x14ac:dyDescent="0.25">
      <c r="B842" s="23"/>
      <c r="C842" s="23"/>
      <c r="D842" s="23"/>
      <c r="E842" s="23"/>
      <c r="F842" s="24"/>
      <c r="G842" s="24"/>
    </row>
    <row r="843" spans="2:7" ht="15.75" customHeight="1" x14ac:dyDescent="0.25">
      <c r="B843" s="23"/>
      <c r="C843" s="23"/>
      <c r="D843" s="23"/>
      <c r="E843" s="23"/>
      <c r="F843" s="24"/>
      <c r="G843" s="24"/>
    </row>
    <row r="844" spans="2:7" ht="15.75" customHeight="1" x14ac:dyDescent="0.25">
      <c r="B844" s="23"/>
      <c r="C844" s="23"/>
      <c r="D844" s="23"/>
      <c r="E844" s="23"/>
      <c r="F844" s="24"/>
      <c r="G844" s="24"/>
    </row>
    <row r="845" spans="2:7" ht="15.75" customHeight="1" x14ac:dyDescent="0.25">
      <c r="B845" s="23"/>
      <c r="C845" s="23"/>
      <c r="D845" s="23"/>
      <c r="E845" s="23"/>
      <c r="F845" s="24"/>
      <c r="G845" s="24"/>
    </row>
    <row r="846" spans="2:7" ht="15.75" customHeight="1" x14ac:dyDescent="0.25">
      <c r="B846" s="23"/>
      <c r="C846" s="23"/>
      <c r="D846" s="23"/>
      <c r="E846" s="23"/>
      <c r="F846" s="24"/>
      <c r="G846" s="24"/>
    </row>
    <row r="847" spans="2:7" ht="15.75" customHeight="1" x14ac:dyDescent="0.25">
      <c r="B847" s="23"/>
      <c r="C847" s="23"/>
      <c r="D847" s="23"/>
      <c r="E847" s="23"/>
      <c r="F847" s="24"/>
      <c r="G847" s="24"/>
    </row>
    <row r="848" spans="2:7" ht="15.75" customHeight="1" x14ac:dyDescent="0.25">
      <c r="B848" s="23"/>
      <c r="C848" s="23"/>
      <c r="D848" s="23"/>
      <c r="E848" s="23"/>
      <c r="F848" s="24"/>
      <c r="G848" s="24"/>
    </row>
    <row r="849" spans="2:7" ht="15.75" customHeight="1" x14ac:dyDescent="0.25">
      <c r="B849" s="23"/>
      <c r="C849" s="23"/>
      <c r="D849" s="23"/>
      <c r="E849" s="23"/>
      <c r="F849" s="24"/>
      <c r="G849" s="24"/>
    </row>
    <row r="850" spans="2:7" ht="15.75" customHeight="1" x14ac:dyDescent="0.25">
      <c r="B850" s="23"/>
      <c r="C850" s="23"/>
      <c r="D850" s="23"/>
      <c r="E850" s="23"/>
      <c r="F850" s="24"/>
      <c r="G850" s="24"/>
    </row>
    <row r="851" spans="2:7" ht="15.75" customHeight="1" x14ac:dyDescent="0.25">
      <c r="B851" s="23"/>
      <c r="C851" s="23"/>
      <c r="D851" s="23"/>
      <c r="E851" s="23"/>
      <c r="F851" s="24"/>
      <c r="G851" s="24"/>
    </row>
    <row r="852" spans="2:7" ht="15.75" customHeight="1" x14ac:dyDescent="0.25">
      <c r="B852" s="23"/>
      <c r="C852" s="23"/>
      <c r="D852" s="23"/>
      <c r="E852" s="23"/>
      <c r="F852" s="24"/>
      <c r="G852" s="24"/>
    </row>
    <row r="853" spans="2:7" ht="15.75" customHeight="1" x14ac:dyDescent="0.25">
      <c r="B853" s="23"/>
      <c r="C853" s="23"/>
      <c r="D853" s="23"/>
      <c r="E853" s="23"/>
      <c r="F853" s="24"/>
      <c r="G853" s="24"/>
    </row>
    <row r="854" spans="2:7" ht="15.75" customHeight="1" x14ac:dyDescent="0.25">
      <c r="B854" s="23"/>
      <c r="C854" s="23"/>
      <c r="D854" s="23"/>
      <c r="E854" s="23"/>
      <c r="F854" s="24"/>
      <c r="G854" s="24"/>
    </row>
    <row r="855" spans="2:7" ht="15.75" customHeight="1" x14ac:dyDescent="0.25">
      <c r="B855" s="23"/>
      <c r="C855" s="23"/>
      <c r="D855" s="23"/>
      <c r="E855" s="23"/>
      <c r="F855" s="24"/>
      <c r="G855" s="24"/>
    </row>
    <row r="856" spans="2:7" ht="15.75" customHeight="1" x14ac:dyDescent="0.25">
      <c r="B856" s="23"/>
      <c r="C856" s="23"/>
      <c r="D856" s="23"/>
      <c r="E856" s="23"/>
      <c r="F856" s="24"/>
      <c r="G856" s="24"/>
    </row>
    <row r="857" spans="2:7" ht="15.75" customHeight="1" x14ac:dyDescent="0.25">
      <c r="B857" s="23"/>
      <c r="C857" s="23"/>
      <c r="D857" s="23"/>
      <c r="E857" s="23"/>
      <c r="F857" s="24"/>
      <c r="G857" s="24"/>
    </row>
    <row r="858" spans="2:7" ht="15.75" customHeight="1" x14ac:dyDescent="0.25">
      <c r="B858" s="23"/>
      <c r="C858" s="23"/>
      <c r="D858" s="23"/>
      <c r="E858" s="23"/>
      <c r="F858" s="24"/>
      <c r="G858" s="24"/>
    </row>
    <row r="859" spans="2:7" ht="15.75" customHeight="1" x14ac:dyDescent="0.25">
      <c r="B859" s="23"/>
      <c r="C859" s="23"/>
      <c r="D859" s="23"/>
      <c r="E859" s="23"/>
      <c r="F859" s="24"/>
      <c r="G859" s="24"/>
    </row>
    <row r="860" spans="2:7" ht="15.75" customHeight="1" x14ac:dyDescent="0.25">
      <c r="B860" s="23"/>
      <c r="C860" s="23"/>
      <c r="D860" s="23"/>
      <c r="E860" s="23"/>
      <c r="F860" s="24"/>
      <c r="G860" s="24"/>
    </row>
    <row r="861" spans="2:7" ht="15.75" customHeight="1" x14ac:dyDescent="0.25">
      <c r="B861" s="23"/>
      <c r="C861" s="23"/>
      <c r="D861" s="23"/>
      <c r="E861" s="23"/>
      <c r="F861" s="24"/>
      <c r="G861" s="24"/>
    </row>
    <row r="862" spans="2:7" ht="15.75" customHeight="1" x14ac:dyDescent="0.25">
      <c r="B862" s="23"/>
      <c r="C862" s="23"/>
      <c r="D862" s="23"/>
      <c r="E862" s="23"/>
      <c r="F862" s="24"/>
      <c r="G862" s="24"/>
    </row>
    <row r="863" spans="2:7" ht="15.75" customHeight="1" x14ac:dyDescent="0.25">
      <c r="B863" s="23"/>
      <c r="C863" s="23"/>
      <c r="D863" s="23"/>
      <c r="E863" s="23"/>
      <c r="F863" s="24"/>
      <c r="G863" s="24"/>
    </row>
    <row r="864" spans="2:7" ht="15.75" customHeight="1" x14ac:dyDescent="0.25">
      <c r="B864" s="23"/>
      <c r="C864" s="23"/>
      <c r="D864" s="23"/>
      <c r="E864" s="23"/>
      <c r="F864" s="24"/>
      <c r="G864" s="24"/>
    </row>
    <row r="865" spans="2:7" ht="15.75" customHeight="1" x14ac:dyDescent="0.25">
      <c r="B865" s="23"/>
      <c r="C865" s="23"/>
      <c r="D865" s="23"/>
      <c r="E865" s="23"/>
      <c r="F865" s="24"/>
      <c r="G865" s="24"/>
    </row>
    <row r="866" spans="2:7" ht="15.75" customHeight="1" x14ac:dyDescent="0.25">
      <c r="B866" s="23"/>
      <c r="C866" s="23"/>
      <c r="D866" s="23"/>
      <c r="E866" s="23"/>
      <c r="F866" s="24"/>
      <c r="G866" s="24"/>
    </row>
    <row r="867" spans="2:7" ht="15.75" customHeight="1" x14ac:dyDescent="0.25">
      <c r="B867" s="23"/>
      <c r="C867" s="23"/>
      <c r="D867" s="23"/>
      <c r="E867" s="23"/>
      <c r="F867" s="24"/>
      <c r="G867" s="24"/>
    </row>
    <row r="868" spans="2:7" ht="15.75" customHeight="1" x14ac:dyDescent="0.25">
      <c r="B868" s="23"/>
      <c r="C868" s="23"/>
      <c r="D868" s="23"/>
      <c r="E868" s="23"/>
      <c r="F868" s="24"/>
      <c r="G868" s="24"/>
    </row>
    <row r="869" spans="2:7" ht="15.75" customHeight="1" x14ac:dyDescent="0.25">
      <c r="B869" s="23"/>
      <c r="C869" s="23"/>
      <c r="D869" s="23"/>
      <c r="E869" s="23"/>
      <c r="F869" s="24"/>
      <c r="G869" s="24"/>
    </row>
    <row r="870" spans="2:7" ht="15.75" customHeight="1" x14ac:dyDescent="0.25">
      <c r="B870" s="23"/>
      <c r="C870" s="23"/>
      <c r="D870" s="23"/>
      <c r="E870" s="23"/>
      <c r="F870" s="24"/>
      <c r="G870" s="24"/>
    </row>
    <row r="871" spans="2:7" ht="15.75" customHeight="1" x14ac:dyDescent="0.25">
      <c r="B871" s="23"/>
      <c r="C871" s="23"/>
      <c r="D871" s="23"/>
      <c r="E871" s="23"/>
      <c r="F871" s="24"/>
      <c r="G871" s="24"/>
    </row>
    <row r="872" spans="2:7" ht="15.75" customHeight="1" x14ac:dyDescent="0.25">
      <c r="B872" s="23"/>
      <c r="C872" s="23"/>
      <c r="D872" s="23"/>
      <c r="E872" s="23"/>
      <c r="F872" s="24"/>
      <c r="G872" s="24"/>
    </row>
    <row r="873" spans="2:7" ht="15.75" customHeight="1" x14ac:dyDescent="0.25">
      <c r="B873" s="23"/>
      <c r="C873" s="23"/>
      <c r="D873" s="23"/>
      <c r="E873" s="23"/>
      <c r="F873" s="24"/>
      <c r="G873" s="24"/>
    </row>
    <row r="874" spans="2:7" ht="15.75" customHeight="1" x14ac:dyDescent="0.25">
      <c r="B874" s="23"/>
      <c r="C874" s="23"/>
      <c r="D874" s="23"/>
      <c r="E874" s="23"/>
      <c r="F874" s="24"/>
      <c r="G874" s="24"/>
    </row>
    <row r="875" spans="2:7" ht="15.75" customHeight="1" x14ac:dyDescent="0.25">
      <c r="B875" s="23"/>
      <c r="C875" s="23"/>
      <c r="D875" s="23"/>
      <c r="E875" s="23"/>
      <c r="F875" s="24"/>
      <c r="G875" s="24"/>
    </row>
    <row r="876" spans="2:7" ht="15.75" customHeight="1" x14ac:dyDescent="0.25">
      <c r="B876" s="23"/>
      <c r="C876" s="23"/>
      <c r="D876" s="23"/>
      <c r="E876" s="23"/>
      <c r="F876" s="24"/>
      <c r="G876" s="24"/>
    </row>
    <row r="877" spans="2:7" ht="15.75" customHeight="1" x14ac:dyDescent="0.25">
      <c r="B877" s="23"/>
      <c r="C877" s="23"/>
      <c r="D877" s="23"/>
      <c r="E877" s="23"/>
      <c r="F877" s="24"/>
      <c r="G877" s="24"/>
    </row>
    <row r="878" spans="2:7" ht="15.75" customHeight="1" x14ac:dyDescent="0.25">
      <c r="B878" s="23"/>
      <c r="C878" s="23"/>
      <c r="D878" s="23"/>
      <c r="E878" s="23"/>
      <c r="F878" s="24"/>
      <c r="G878" s="24"/>
    </row>
    <row r="879" spans="2:7" ht="15.75" customHeight="1" x14ac:dyDescent="0.25">
      <c r="B879" s="23"/>
      <c r="C879" s="23"/>
      <c r="D879" s="23"/>
      <c r="E879" s="23"/>
      <c r="F879" s="24"/>
      <c r="G879" s="24"/>
    </row>
    <row r="880" spans="2:7" ht="15.75" customHeight="1" x14ac:dyDescent="0.25">
      <c r="B880" s="23"/>
      <c r="C880" s="23"/>
      <c r="D880" s="23"/>
      <c r="E880" s="23"/>
      <c r="F880" s="24"/>
      <c r="G880" s="24"/>
    </row>
    <row r="881" spans="2:7" ht="15.75" customHeight="1" x14ac:dyDescent="0.25">
      <c r="B881" s="23"/>
      <c r="C881" s="23"/>
      <c r="D881" s="23"/>
      <c r="E881" s="23"/>
      <c r="F881" s="24"/>
      <c r="G881" s="24"/>
    </row>
    <row r="882" spans="2:7" ht="15.75" customHeight="1" x14ac:dyDescent="0.25">
      <c r="B882" s="23"/>
      <c r="C882" s="23"/>
      <c r="D882" s="23"/>
      <c r="E882" s="23"/>
      <c r="F882" s="24"/>
      <c r="G882" s="24"/>
    </row>
    <row r="883" spans="2:7" ht="15.75" customHeight="1" x14ac:dyDescent="0.25">
      <c r="B883" s="23"/>
      <c r="C883" s="23"/>
      <c r="D883" s="23"/>
      <c r="E883" s="23"/>
      <c r="F883" s="24"/>
      <c r="G883" s="24"/>
    </row>
    <row r="884" spans="2:7" ht="15.75" customHeight="1" x14ac:dyDescent="0.25">
      <c r="B884" s="23"/>
      <c r="C884" s="23"/>
      <c r="D884" s="23"/>
      <c r="E884" s="23"/>
      <c r="F884" s="24"/>
      <c r="G884" s="24"/>
    </row>
    <row r="885" spans="2:7" ht="15.75" customHeight="1" x14ac:dyDescent="0.25">
      <c r="B885" s="23"/>
      <c r="C885" s="23"/>
      <c r="D885" s="23"/>
      <c r="E885" s="23"/>
      <c r="F885" s="24"/>
      <c r="G885" s="24"/>
    </row>
    <row r="886" spans="2:7" ht="15.75" customHeight="1" x14ac:dyDescent="0.25">
      <c r="B886" s="23"/>
      <c r="C886" s="23"/>
      <c r="D886" s="23"/>
      <c r="E886" s="23"/>
      <c r="F886" s="24"/>
      <c r="G886" s="24"/>
    </row>
    <row r="887" spans="2:7" ht="15.75" customHeight="1" x14ac:dyDescent="0.25">
      <c r="B887" s="23"/>
      <c r="C887" s="23"/>
      <c r="D887" s="23"/>
      <c r="E887" s="23"/>
      <c r="F887" s="24"/>
      <c r="G887" s="24"/>
    </row>
    <row r="888" spans="2:7" ht="15.75" customHeight="1" x14ac:dyDescent="0.25">
      <c r="B888" s="23"/>
      <c r="C888" s="23"/>
      <c r="D888" s="23"/>
      <c r="E888" s="23"/>
      <c r="F888" s="24"/>
      <c r="G888" s="24"/>
    </row>
    <row r="889" spans="2:7" ht="15.75" customHeight="1" x14ac:dyDescent="0.25">
      <c r="B889" s="23"/>
      <c r="C889" s="23"/>
      <c r="D889" s="23"/>
      <c r="E889" s="23"/>
      <c r="F889" s="24"/>
      <c r="G889" s="24"/>
    </row>
    <row r="890" spans="2:7" ht="15.75" customHeight="1" x14ac:dyDescent="0.25">
      <c r="B890" s="23"/>
      <c r="C890" s="23"/>
      <c r="D890" s="23"/>
      <c r="E890" s="23"/>
      <c r="F890" s="24"/>
      <c r="G890" s="24"/>
    </row>
    <row r="891" spans="2:7" ht="15.75" customHeight="1" x14ac:dyDescent="0.25">
      <c r="B891" s="23"/>
      <c r="C891" s="23"/>
      <c r="D891" s="23"/>
      <c r="E891" s="23"/>
      <c r="F891" s="24"/>
      <c r="G891" s="24"/>
    </row>
    <row r="892" spans="2:7" ht="15.75" customHeight="1" x14ac:dyDescent="0.25">
      <c r="B892" s="23"/>
      <c r="C892" s="23"/>
      <c r="D892" s="23"/>
      <c r="E892" s="23"/>
      <c r="F892" s="24"/>
      <c r="G892" s="24"/>
    </row>
    <row r="893" spans="2:7" ht="15.75" customHeight="1" x14ac:dyDescent="0.25">
      <c r="B893" s="23"/>
      <c r="C893" s="23"/>
      <c r="D893" s="23"/>
      <c r="E893" s="23"/>
      <c r="F893" s="24"/>
      <c r="G893" s="24"/>
    </row>
    <row r="894" spans="2:7" ht="15.75" customHeight="1" x14ac:dyDescent="0.25">
      <c r="B894" s="23"/>
      <c r="C894" s="23"/>
      <c r="D894" s="23"/>
      <c r="E894" s="23"/>
      <c r="F894" s="24"/>
      <c r="G894" s="24"/>
    </row>
    <row r="895" spans="2:7" ht="15.75" customHeight="1" x14ac:dyDescent="0.25">
      <c r="B895" s="23"/>
      <c r="C895" s="23"/>
      <c r="D895" s="23"/>
      <c r="E895" s="23"/>
      <c r="F895" s="24"/>
      <c r="G895" s="24"/>
    </row>
    <row r="896" spans="2:7" ht="15.75" customHeight="1" x14ac:dyDescent="0.25">
      <c r="B896" s="23"/>
      <c r="C896" s="23"/>
      <c r="D896" s="23"/>
      <c r="E896" s="23"/>
      <c r="F896" s="24"/>
      <c r="G896" s="24"/>
    </row>
    <row r="897" spans="2:7" ht="15.75" customHeight="1" x14ac:dyDescent="0.25">
      <c r="B897" s="23"/>
      <c r="C897" s="23"/>
      <c r="D897" s="23"/>
      <c r="E897" s="23"/>
      <c r="F897" s="24"/>
      <c r="G897" s="24"/>
    </row>
    <row r="898" spans="2:7" ht="15.75" customHeight="1" x14ac:dyDescent="0.25">
      <c r="B898" s="23"/>
      <c r="C898" s="23"/>
      <c r="D898" s="23"/>
      <c r="E898" s="23"/>
      <c r="F898" s="24"/>
      <c r="G898" s="24"/>
    </row>
    <row r="899" spans="2:7" ht="15.75" customHeight="1" x14ac:dyDescent="0.25">
      <c r="B899" s="23"/>
      <c r="C899" s="23"/>
      <c r="D899" s="23"/>
      <c r="E899" s="23"/>
      <c r="F899" s="24"/>
      <c r="G899" s="24"/>
    </row>
    <row r="900" spans="2:7" ht="15.75" customHeight="1" x14ac:dyDescent="0.25">
      <c r="B900" s="23"/>
      <c r="C900" s="23"/>
      <c r="D900" s="23"/>
      <c r="E900" s="23"/>
      <c r="F900" s="24"/>
      <c r="G900" s="24"/>
    </row>
    <row r="901" spans="2:7" ht="15.75" customHeight="1" x14ac:dyDescent="0.25">
      <c r="B901" s="23"/>
      <c r="C901" s="23"/>
      <c r="D901" s="23"/>
      <c r="E901" s="23"/>
      <c r="F901" s="24"/>
      <c r="G901" s="24"/>
    </row>
    <row r="902" spans="2:7" ht="15.75" customHeight="1" x14ac:dyDescent="0.25">
      <c r="B902" s="23"/>
      <c r="C902" s="23"/>
      <c r="D902" s="23"/>
      <c r="E902" s="23"/>
      <c r="F902" s="24"/>
      <c r="G902" s="24"/>
    </row>
    <row r="903" spans="2:7" ht="15.75" customHeight="1" x14ac:dyDescent="0.25">
      <c r="B903" s="23"/>
      <c r="C903" s="23"/>
      <c r="D903" s="23"/>
      <c r="E903" s="23"/>
      <c r="F903" s="24"/>
      <c r="G903" s="24"/>
    </row>
    <row r="904" spans="2:7" ht="15.75" customHeight="1" x14ac:dyDescent="0.25">
      <c r="B904" s="23"/>
      <c r="C904" s="23"/>
      <c r="D904" s="23"/>
      <c r="E904" s="23"/>
      <c r="F904" s="24"/>
      <c r="G904" s="24"/>
    </row>
    <row r="905" spans="2:7" ht="15.75" customHeight="1" x14ac:dyDescent="0.25">
      <c r="B905" s="23"/>
      <c r="C905" s="23"/>
      <c r="D905" s="23"/>
      <c r="E905" s="23"/>
      <c r="F905" s="24"/>
      <c r="G905" s="24"/>
    </row>
    <row r="906" spans="2:7" ht="15.75" customHeight="1" x14ac:dyDescent="0.25">
      <c r="B906" s="23"/>
      <c r="C906" s="23"/>
      <c r="D906" s="23"/>
      <c r="E906" s="23"/>
      <c r="F906" s="24"/>
      <c r="G906" s="24"/>
    </row>
    <row r="907" spans="2:7" ht="15.75" customHeight="1" x14ac:dyDescent="0.25">
      <c r="B907" s="23"/>
      <c r="C907" s="23"/>
      <c r="D907" s="23"/>
      <c r="E907" s="23"/>
      <c r="F907" s="24"/>
      <c r="G907" s="24"/>
    </row>
    <row r="908" spans="2:7" ht="15.75" customHeight="1" x14ac:dyDescent="0.25">
      <c r="B908" s="23"/>
      <c r="C908" s="23"/>
      <c r="D908" s="23"/>
      <c r="E908" s="23"/>
      <c r="F908" s="24"/>
      <c r="G908" s="24"/>
    </row>
    <row r="909" spans="2:7" ht="15.75" customHeight="1" x14ac:dyDescent="0.25">
      <c r="B909" s="23"/>
      <c r="C909" s="23"/>
      <c r="D909" s="23"/>
      <c r="E909" s="23"/>
      <c r="F909" s="24"/>
      <c r="G909" s="24"/>
    </row>
    <row r="910" spans="2:7" ht="15.75" customHeight="1" x14ac:dyDescent="0.25">
      <c r="B910" s="23"/>
      <c r="C910" s="23"/>
      <c r="D910" s="23"/>
      <c r="E910" s="23"/>
      <c r="F910" s="24"/>
      <c r="G910" s="24"/>
    </row>
    <row r="911" spans="2:7" ht="15.75" customHeight="1" x14ac:dyDescent="0.25">
      <c r="B911" s="23"/>
      <c r="C911" s="23"/>
      <c r="D911" s="23"/>
      <c r="E911" s="23"/>
      <c r="F911" s="24"/>
      <c r="G911" s="24"/>
    </row>
    <row r="912" spans="2:7" ht="15.75" customHeight="1" x14ac:dyDescent="0.25">
      <c r="B912" s="23"/>
      <c r="C912" s="23"/>
      <c r="D912" s="23"/>
      <c r="E912" s="23"/>
      <c r="F912" s="24"/>
      <c r="G912" s="24"/>
    </row>
    <row r="913" spans="2:7" ht="15.75" customHeight="1" x14ac:dyDescent="0.25">
      <c r="B913" s="23"/>
      <c r="C913" s="23"/>
      <c r="D913" s="23"/>
      <c r="E913" s="23"/>
      <c r="F913" s="24"/>
      <c r="G913" s="24"/>
    </row>
    <row r="914" spans="2:7" ht="15.75" customHeight="1" x14ac:dyDescent="0.25">
      <c r="B914" s="23"/>
      <c r="C914" s="23"/>
      <c r="D914" s="23"/>
      <c r="E914" s="23"/>
      <c r="F914" s="24"/>
      <c r="G914" s="24"/>
    </row>
    <row r="915" spans="2:7" ht="15.75" customHeight="1" x14ac:dyDescent="0.25">
      <c r="B915" s="23"/>
      <c r="C915" s="23"/>
      <c r="D915" s="23"/>
      <c r="E915" s="23"/>
      <c r="F915" s="24"/>
      <c r="G915" s="24"/>
    </row>
    <row r="916" spans="2:7" ht="15.75" customHeight="1" x14ac:dyDescent="0.25">
      <c r="B916" s="23"/>
      <c r="C916" s="23"/>
      <c r="D916" s="23"/>
      <c r="E916" s="23"/>
      <c r="F916" s="24"/>
      <c r="G916" s="24"/>
    </row>
    <row r="917" spans="2:7" ht="15.75" customHeight="1" x14ac:dyDescent="0.25">
      <c r="B917" s="23"/>
      <c r="C917" s="23"/>
      <c r="D917" s="23"/>
      <c r="E917" s="23"/>
      <c r="F917" s="24"/>
      <c r="G917" s="24"/>
    </row>
    <row r="918" spans="2:7" ht="15.75" customHeight="1" x14ac:dyDescent="0.25">
      <c r="B918" s="23"/>
      <c r="C918" s="23"/>
      <c r="D918" s="23"/>
      <c r="E918" s="23"/>
      <c r="F918" s="24"/>
      <c r="G918" s="24"/>
    </row>
    <row r="919" spans="2:7" ht="15.75" customHeight="1" x14ac:dyDescent="0.25">
      <c r="B919" s="23"/>
      <c r="C919" s="23"/>
      <c r="D919" s="23"/>
      <c r="E919" s="23"/>
      <c r="F919" s="24"/>
      <c r="G919" s="24"/>
    </row>
    <row r="920" spans="2:7" ht="15.75" customHeight="1" x14ac:dyDescent="0.25">
      <c r="B920" s="23"/>
      <c r="C920" s="23"/>
      <c r="D920" s="23"/>
      <c r="E920" s="23"/>
      <c r="F920" s="24"/>
      <c r="G920" s="24"/>
    </row>
    <row r="921" spans="2:7" ht="15.75" customHeight="1" x14ac:dyDescent="0.25">
      <c r="B921" s="23"/>
      <c r="C921" s="23"/>
      <c r="D921" s="23"/>
      <c r="E921" s="23"/>
      <c r="F921" s="24"/>
      <c r="G921" s="24"/>
    </row>
    <row r="922" spans="2:7" ht="15.75" customHeight="1" x14ac:dyDescent="0.25">
      <c r="B922" s="23"/>
      <c r="C922" s="23"/>
      <c r="D922" s="23"/>
      <c r="E922" s="23"/>
      <c r="F922" s="24"/>
      <c r="G922" s="24"/>
    </row>
    <row r="923" spans="2:7" ht="15.75" customHeight="1" x14ac:dyDescent="0.25">
      <c r="B923" s="23"/>
      <c r="C923" s="23"/>
      <c r="D923" s="23"/>
      <c r="E923" s="23"/>
      <c r="F923" s="24"/>
      <c r="G923" s="24"/>
    </row>
    <row r="924" spans="2:7" ht="15.75" customHeight="1" x14ac:dyDescent="0.25">
      <c r="B924" s="23"/>
      <c r="C924" s="23"/>
      <c r="D924" s="23"/>
      <c r="E924" s="23"/>
      <c r="F924" s="24"/>
      <c r="G924" s="24"/>
    </row>
    <row r="925" spans="2:7" ht="15.75" customHeight="1" x14ac:dyDescent="0.25">
      <c r="B925" s="23"/>
      <c r="C925" s="23"/>
      <c r="D925" s="23"/>
      <c r="E925" s="23"/>
      <c r="F925" s="24"/>
      <c r="G925" s="24"/>
    </row>
    <row r="926" spans="2:7" ht="15.75" customHeight="1" x14ac:dyDescent="0.25">
      <c r="B926" s="23"/>
      <c r="C926" s="23"/>
      <c r="D926" s="23"/>
      <c r="E926" s="23"/>
      <c r="F926" s="24"/>
      <c r="G926" s="24"/>
    </row>
    <row r="927" spans="2:7" ht="15.75" customHeight="1" x14ac:dyDescent="0.25">
      <c r="B927" s="23"/>
      <c r="C927" s="23"/>
      <c r="D927" s="23"/>
      <c r="E927" s="23"/>
      <c r="F927" s="24"/>
      <c r="G927" s="24"/>
    </row>
    <row r="928" spans="2:7" ht="15.75" customHeight="1" x14ac:dyDescent="0.25">
      <c r="B928" s="23"/>
      <c r="C928" s="23"/>
      <c r="D928" s="23"/>
      <c r="E928" s="23"/>
      <c r="F928" s="24"/>
      <c r="G928" s="24"/>
    </row>
    <row r="929" spans="2:7" ht="15.75" customHeight="1" x14ac:dyDescent="0.25">
      <c r="B929" s="23"/>
      <c r="C929" s="23"/>
      <c r="D929" s="23"/>
      <c r="E929" s="23"/>
      <c r="F929" s="24"/>
      <c r="G929" s="24"/>
    </row>
    <row r="930" spans="2:7" ht="15.75" customHeight="1" x14ac:dyDescent="0.25">
      <c r="B930" s="23"/>
      <c r="C930" s="23"/>
      <c r="D930" s="23"/>
      <c r="E930" s="23"/>
      <c r="F930" s="24"/>
      <c r="G930" s="24"/>
    </row>
    <row r="931" spans="2:7" ht="15.75" customHeight="1" x14ac:dyDescent="0.25">
      <c r="B931" s="23"/>
      <c r="C931" s="23"/>
      <c r="D931" s="23"/>
      <c r="E931" s="23"/>
      <c r="F931" s="24"/>
      <c r="G931" s="24"/>
    </row>
    <row r="932" spans="2:7" ht="15.75" customHeight="1" x14ac:dyDescent="0.25">
      <c r="B932" s="23"/>
      <c r="C932" s="23"/>
      <c r="D932" s="23"/>
      <c r="E932" s="23"/>
      <c r="F932" s="24"/>
      <c r="G932" s="24"/>
    </row>
    <row r="933" spans="2:7" ht="15.75" customHeight="1" x14ac:dyDescent="0.25">
      <c r="B933" s="23"/>
      <c r="C933" s="23"/>
      <c r="D933" s="23"/>
      <c r="E933" s="23"/>
      <c r="F933" s="24"/>
      <c r="G933" s="24"/>
    </row>
    <row r="934" spans="2:7" ht="15.75" customHeight="1" x14ac:dyDescent="0.25">
      <c r="B934" s="23"/>
      <c r="C934" s="23"/>
      <c r="D934" s="23"/>
      <c r="E934" s="23"/>
      <c r="F934" s="24"/>
      <c r="G934" s="24"/>
    </row>
    <row r="935" spans="2:7" ht="15.75" customHeight="1" x14ac:dyDescent="0.25">
      <c r="B935" s="23"/>
      <c r="C935" s="23"/>
      <c r="D935" s="23"/>
      <c r="E935" s="23"/>
      <c r="F935" s="24"/>
      <c r="G935" s="24"/>
    </row>
    <row r="936" spans="2:7" ht="15.75" customHeight="1" x14ac:dyDescent="0.25">
      <c r="B936" s="23"/>
      <c r="C936" s="23"/>
      <c r="D936" s="23"/>
      <c r="E936" s="23"/>
      <c r="F936" s="24"/>
      <c r="G936" s="24"/>
    </row>
    <row r="937" spans="2:7" ht="15.75" customHeight="1" x14ac:dyDescent="0.25">
      <c r="B937" s="23"/>
      <c r="C937" s="23"/>
      <c r="D937" s="23"/>
      <c r="E937" s="23"/>
      <c r="F937" s="24"/>
      <c r="G937" s="24"/>
    </row>
    <row r="938" spans="2:7" ht="15.75" customHeight="1" x14ac:dyDescent="0.25">
      <c r="B938" s="23"/>
      <c r="C938" s="23"/>
      <c r="D938" s="23"/>
      <c r="E938" s="23"/>
      <c r="F938" s="24"/>
      <c r="G938" s="24"/>
    </row>
    <row r="939" spans="2:7" ht="15.75" customHeight="1" x14ac:dyDescent="0.25">
      <c r="B939" s="23"/>
      <c r="C939" s="23"/>
      <c r="D939" s="23"/>
      <c r="E939" s="23"/>
      <c r="F939" s="24"/>
      <c r="G939" s="24"/>
    </row>
    <row r="940" spans="2:7" ht="15.75" customHeight="1" x14ac:dyDescent="0.25">
      <c r="B940" s="23"/>
      <c r="C940" s="23"/>
      <c r="D940" s="23"/>
      <c r="E940" s="23"/>
      <c r="F940" s="24"/>
      <c r="G940" s="24"/>
    </row>
    <row r="941" spans="2:7" ht="15.75" customHeight="1" x14ac:dyDescent="0.25">
      <c r="B941" s="23"/>
      <c r="C941" s="23"/>
      <c r="D941" s="23"/>
      <c r="E941" s="23"/>
      <c r="F941" s="24"/>
      <c r="G941" s="24"/>
    </row>
    <row r="942" spans="2:7" ht="15.75" customHeight="1" x14ac:dyDescent="0.25">
      <c r="B942" s="23"/>
      <c r="C942" s="23"/>
      <c r="D942" s="23"/>
      <c r="E942" s="23"/>
      <c r="F942" s="24"/>
      <c r="G942" s="24"/>
    </row>
    <row r="943" spans="2:7" ht="15.75" customHeight="1" x14ac:dyDescent="0.25">
      <c r="B943" s="23"/>
      <c r="C943" s="23"/>
      <c r="D943" s="23"/>
      <c r="E943" s="23"/>
      <c r="F943" s="24"/>
      <c r="G943" s="24"/>
    </row>
    <row r="944" spans="2:7" ht="15.75" customHeight="1" x14ac:dyDescent="0.25">
      <c r="B944" s="23"/>
      <c r="C944" s="23"/>
      <c r="D944" s="23"/>
      <c r="E944" s="23"/>
      <c r="F944" s="24"/>
      <c r="G944" s="24"/>
    </row>
    <row r="945" spans="2:7" ht="15.75" customHeight="1" x14ac:dyDescent="0.25">
      <c r="B945" s="23"/>
      <c r="C945" s="23"/>
      <c r="D945" s="23"/>
      <c r="E945" s="23"/>
      <c r="F945" s="24"/>
      <c r="G945" s="24"/>
    </row>
    <row r="946" spans="2:7" ht="15.75" customHeight="1" x14ac:dyDescent="0.25">
      <c r="B946" s="23"/>
      <c r="C946" s="23"/>
      <c r="D946" s="23"/>
      <c r="E946" s="23"/>
      <c r="F946" s="24"/>
      <c r="G946" s="24"/>
    </row>
    <row r="947" spans="2:7" ht="15.75" customHeight="1" x14ac:dyDescent="0.25">
      <c r="B947" s="23"/>
      <c r="C947" s="23"/>
      <c r="D947" s="23"/>
      <c r="E947" s="23"/>
      <c r="F947" s="24"/>
      <c r="G947" s="24"/>
    </row>
    <row r="948" spans="2:7" ht="15.75" customHeight="1" x14ac:dyDescent="0.25">
      <c r="B948" s="23"/>
      <c r="C948" s="23"/>
      <c r="D948" s="23"/>
      <c r="E948" s="23"/>
      <c r="F948" s="24"/>
      <c r="G948" s="24"/>
    </row>
    <row r="949" spans="2:7" ht="15.75" customHeight="1" x14ac:dyDescent="0.25">
      <c r="B949" s="23"/>
      <c r="C949" s="23"/>
      <c r="D949" s="23"/>
      <c r="E949" s="23"/>
      <c r="F949" s="24"/>
      <c r="G949" s="24"/>
    </row>
    <row r="950" spans="2:7" ht="15.75" customHeight="1" x14ac:dyDescent="0.25">
      <c r="B950" s="23"/>
      <c r="C950" s="23"/>
      <c r="D950" s="23"/>
      <c r="E950" s="23"/>
      <c r="F950" s="24"/>
      <c r="G950" s="24"/>
    </row>
    <row r="951" spans="2:7" ht="15.75" customHeight="1" x14ac:dyDescent="0.25">
      <c r="B951" s="23"/>
      <c r="C951" s="23"/>
      <c r="D951" s="23"/>
      <c r="E951" s="23"/>
      <c r="F951" s="24"/>
      <c r="G951" s="24"/>
    </row>
    <row r="952" spans="2:7" ht="15.75" customHeight="1" x14ac:dyDescent="0.25">
      <c r="B952" s="23"/>
      <c r="C952" s="23"/>
      <c r="D952" s="23"/>
      <c r="E952" s="23"/>
      <c r="F952" s="24"/>
      <c r="G952" s="24"/>
    </row>
    <row r="953" spans="2:7" ht="15.75" customHeight="1" x14ac:dyDescent="0.25">
      <c r="B953" s="23"/>
      <c r="C953" s="23"/>
      <c r="D953" s="23"/>
      <c r="E953" s="23"/>
      <c r="F953" s="24"/>
      <c r="G953" s="24"/>
    </row>
    <row r="954" spans="2:7" ht="15.75" customHeight="1" x14ac:dyDescent="0.25">
      <c r="B954" s="23"/>
      <c r="C954" s="23"/>
      <c r="D954" s="23"/>
      <c r="E954" s="23"/>
      <c r="F954" s="24"/>
      <c r="G954" s="24"/>
    </row>
    <row r="955" spans="2:7" ht="15.75" customHeight="1" x14ac:dyDescent="0.25">
      <c r="B955" s="23"/>
      <c r="C955" s="23"/>
      <c r="D955" s="23"/>
      <c r="E955" s="23"/>
      <c r="F955" s="24"/>
      <c r="G955" s="24"/>
    </row>
    <row r="956" spans="2:7" ht="15.75" customHeight="1" x14ac:dyDescent="0.25">
      <c r="B956" s="23"/>
      <c r="C956" s="23"/>
      <c r="D956" s="23"/>
      <c r="E956" s="23"/>
      <c r="F956" s="24"/>
      <c r="G956" s="24"/>
    </row>
    <row r="957" spans="2:7" ht="15.75" customHeight="1" x14ac:dyDescent="0.25">
      <c r="B957" s="23"/>
      <c r="C957" s="23"/>
      <c r="D957" s="23"/>
      <c r="E957" s="23"/>
      <c r="F957" s="24"/>
      <c r="G957" s="24"/>
    </row>
    <row r="958" spans="2:7" ht="15.75" customHeight="1" x14ac:dyDescent="0.25">
      <c r="B958" s="23"/>
      <c r="C958" s="23"/>
      <c r="D958" s="23"/>
      <c r="E958" s="23"/>
      <c r="F958" s="24"/>
      <c r="G958" s="24"/>
    </row>
    <row r="959" spans="2:7" ht="15.75" customHeight="1" x14ac:dyDescent="0.25">
      <c r="B959" s="23"/>
      <c r="C959" s="23"/>
      <c r="D959" s="23"/>
      <c r="E959" s="23"/>
      <c r="F959" s="24"/>
      <c r="G959" s="24"/>
    </row>
    <row r="960" spans="2:7" ht="15.75" customHeight="1" x14ac:dyDescent="0.25">
      <c r="B960" s="23"/>
      <c r="C960" s="23"/>
      <c r="D960" s="23"/>
      <c r="E960" s="23"/>
      <c r="F960" s="24"/>
      <c r="G960" s="24"/>
    </row>
    <row r="961" spans="2:7" ht="15.75" customHeight="1" x14ac:dyDescent="0.25">
      <c r="B961" s="23"/>
      <c r="C961" s="23"/>
      <c r="D961" s="23"/>
      <c r="E961" s="23"/>
      <c r="F961" s="24"/>
      <c r="G961" s="24"/>
    </row>
    <row r="962" spans="2:7" ht="15.75" customHeight="1" x14ac:dyDescent="0.25">
      <c r="B962" s="23"/>
      <c r="C962" s="23"/>
      <c r="D962" s="23"/>
      <c r="E962" s="23"/>
      <c r="F962" s="24"/>
      <c r="G962" s="24"/>
    </row>
    <row r="963" spans="2:7" ht="15.75" customHeight="1" x14ac:dyDescent="0.25">
      <c r="B963" s="23"/>
      <c r="C963" s="23"/>
      <c r="D963" s="23"/>
      <c r="E963" s="23"/>
      <c r="F963" s="24"/>
      <c r="G963" s="24"/>
    </row>
    <row r="964" spans="2:7" ht="15.75" customHeight="1" x14ac:dyDescent="0.25">
      <c r="B964" s="23"/>
      <c r="C964" s="23"/>
      <c r="D964" s="23"/>
      <c r="E964" s="23"/>
      <c r="F964" s="24"/>
      <c r="G964" s="24"/>
    </row>
    <row r="965" spans="2:7" ht="15.75" customHeight="1" x14ac:dyDescent="0.25">
      <c r="B965" s="23"/>
      <c r="C965" s="23"/>
      <c r="D965" s="23"/>
      <c r="E965" s="23"/>
      <c r="F965" s="24"/>
      <c r="G965" s="24"/>
    </row>
    <row r="966" spans="2:7" ht="15.75" customHeight="1" x14ac:dyDescent="0.25">
      <c r="B966" s="23"/>
      <c r="C966" s="23"/>
      <c r="D966" s="23"/>
      <c r="E966" s="23"/>
      <c r="F966" s="24"/>
      <c r="G966" s="24"/>
    </row>
    <row r="967" spans="2:7" ht="15.75" customHeight="1" x14ac:dyDescent="0.25">
      <c r="B967" s="23"/>
      <c r="C967" s="23"/>
      <c r="D967" s="23"/>
      <c r="E967" s="23"/>
      <c r="F967" s="24"/>
      <c r="G967" s="24"/>
    </row>
    <row r="968" spans="2:7" ht="15.75" customHeight="1" x14ac:dyDescent="0.25">
      <c r="B968" s="23"/>
      <c r="C968" s="23"/>
      <c r="D968" s="23"/>
      <c r="E968" s="23"/>
      <c r="F968" s="24"/>
      <c r="G968" s="24"/>
    </row>
    <row r="969" spans="2:7" ht="15.75" customHeight="1" x14ac:dyDescent="0.25">
      <c r="B969" s="23"/>
      <c r="C969" s="23"/>
      <c r="D969" s="23"/>
      <c r="E969" s="23"/>
      <c r="F969" s="24"/>
      <c r="G969" s="24"/>
    </row>
    <row r="970" spans="2:7" ht="15.75" customHeight="1" x14ac:dyDescent="0.25">
      <c r="B970" s="23"/>
      <c r="C970" s="23"/>
      <c r="D970" s="23"/>
      <c r="E970" s="23"/>
      <c r="F970" s="24"/>
      <c r="G970" s="24"/>
    </row>
    <row r="971" spans="2:7" ht="15.75" customHeight="1" x14ac:dyDescent="0.25">
      <c r="B971" s="23"/>
      <c r="C971" s="23"/>
      <c r="D971" s="23"/>
      <c r="E971" s="23"/>
      <c r="F971" s="24"/>
      <c r="G971" s="24"/>
    </row>
    <row r="972" spans="2:7" ht="15.75" customHeight="1" x14ac:dyDescent="0.25">
      <c r="B972" s="23"/>
      <c r="C972" s="23"/>
      <c r="D972" s="23"/>
      <c r="E972" s="23"/>
      <c r="F972" s="24"/>
      <c r="G972" s="24"/>
    </row>
    <row r="973" spans="2:7" ht="15.75" customHeight="1" x14ac:dyDescent="0.25">
      <c r="B973" s="23"/>
      <c r="C973" s="23"/>
      <c r="D973" s="23"/>
      <c r="E973" s="23"/>
      <c r="F973" s="24"/>
      <c r="G973" s="24"/>
    </row>
    <row r="974" spans="2:7" ht="15.75" customHeight="1" x14ac:dyDescent="0.25">
      <c r="B974" s="23"/>
      <c r="C974" s="23"/>
      <c r="D974" s="23"/>
      <c r="E974" s="23"/>
      <c r="F974" s="24"/>
      <c r="G974" s="24"/>
    </row>
    <row r="975" spans="2:7" ht="15.75" customHeight="1" x14ac:dyDescent="0.25">
      <c r="B975" s="23"/>
      <c r="C975" s="23"/>
      <c r="D975" s="23"/>
      <c r="E975" s="23"/>
      <c r="F975" s="24"/>
      <c r="G975" s="24"/>
    </row>
    <row r="976" spans="2:7" ht="15.75" customHeight="1" x14ac:dyDescent="0.25">
      <c r="B976" s="23"/>
      <c r="C976" s="23"/>
      <c r="D976" s="23"/>
      <c r="E976" s="23"/>
      <c r="F976" s="24"/>
      <c r="G976" s="24"/>
    </row>
    <row r="977" spans="2:7" ht="15.75" customHeight="1" x14ac:dyDescent="0.25">
      <c r="B977" s="23"/>
      <c r="C977" s="23"/>
      <c r="D977" s="23"/>
      <c r="E977" s="23"/>
      <c r="F977" s="24"/>
      <c r="G977" s="24"/>
    </row>
    <row r="978" spans="2:7" ht="15.75" customHeight="1" x14ac:dyDescent="0.25">
      <c r="B978" s="23"/>
      <c r="C978" s="23"/>
      <c r="D978" s="23"/>
      <c r="E978" s="23"/>
      <c r="F978" s="24"/>
      <c r="G978" s="24"/>
    </row>
    <row r="979" spans="2:7" ht="15.75" customHeight="1" x14ac:dyDescent="0.25">
      <c r="B979" s="23"/>
      <c r="C979" s="23"/>
      <c r="D979" s="23"/>
      <c r="E979" s="23"/>
      <c r="F979" s="24"/>
      <c r="G979" s="24"/>
    </row>
    <row r="980" spans="2:7" ht="15.75" customHeight="1" x14ac:dyDescent="0.25">
      <c r="B980" s="23"/>
      <c r="C980" s="23"/>
      <c r="D980" s="23"/>
      <c r="E980" s="23"/>
      <c r="F980" s="24"/>
      <c r="G980" s="24"/>
    </row>
    <row r="981" spans="2:7" ht="15.75" customHeight="1" x14ac:dyDescent="0.25">
      <c r="B981" s="23"/>
      <c r="C981" s="23"/>
      <c r="D981" s="23"/>
      <c r="E981" s="23"/>
      <c r="F981" s="24"/>
      <c r="G981" s="24"/>
    </row>
    <row r="982" spans="2:7" ht="15.75" customHeight="1" x14ac:dyDescent="0.25">
      <c r="B982" s="23"/>
      <c r="C982" s="23"/>
      <c r="D982" s="23"/>
      <c r="E982" s="23"/>
      <c r="F982" s="24"/>
      <c r="G982" s="24"/>
    </row>
    <row r="983" spans="2:7" ht="15.75" customHeight="1" x14ac:dyDescent="0.25">
      <c r="B983" s="23"/>
      <c r="C983" s="23"/>
      <c r="D983" s="23"/>
      <c r="E983" s="23"/>
      <c r="F983" s="24"/>
      <c r="G983" s="24"/>
    </row>
    <row r="984" spans="2:7" ht="15.75" customHeight="1" x14ac:dyDescent="0.25">
      <c r="B984" s="23"/>
      <c r="C984" s="23"/>
      <c r="D984" s="23"/>
      <c r="E984" s="23"/>
      <c r="F984" s="24"/>
      <c r="G984" s="24"/>
    </row>
    <row r="985" spans="2:7" ht="15.75" customHeight="1" x14ac:dyDescent="0.25">
      <c r="B985" s="23"/>
      <c r="C985" s="23"/>
      <c r="D985" s="23"/>
      <c r="E985" s="23"/>
      <c r="F985" s="24"/>
      <c r="G985" s="24"/>
    </row>
    <row r="986" spans="2:7" ht="15.75" customHeight="1" x14ac:dyDescent="0.25">
      <c r="B986" s="23"/>
      <c r="C986" s="23"/>
      <c r="D986" s="23"/>
      <c r="E986" s="23"/>
      <c r="F986" s="24"/>
      <c r="G986" s="24"/>
    </row>
    <row r="987" spans="2:7" ht="15.75" customHeight="1" x14ac:dyDescent="0.25">
      <c r="B987" s="23"/>
      <c r="C987" s="23"/>
      <c r="D987" s="23"/>
      <c r="E987" s="23"/>
      <c r="F987" s="24"/>
      <c r="G987" s="24"/>
    </row>
    <row r="988" spans="2:7" ht="15.75" customHeight="1" x14ac:dyDescent="0.25">
      <c r="B988" s="23"/>
      <c r="C988" s="23"/>
      <c r="D988" s="23"/>
      <c r="E988" s="23"/>
      <c r="F988" s="24"/>
      <c r="G988" s="24"/>
    </row>
    <row r="989" spans="2:7" ht="15.75" customHeight="1" x14ac:dyDescent="0.25">
      <c r="B989" s="23"/>
      <c r="C989" s="23"/>
      <c r="D989" s="23"/>
      <c r="E989" s="23"/>
      <c r="F989" s="24"/>
      <c r="G989" s="24"/>
    </row>
    <row r="990" spans="2:7" ht="15.75" customHeight="1" x14ac:dyDescent="0.25">
      <c r="B990" s="23"/>
      <c r="C990" s="23"/>
      <c r="D990" s="23"/>
      <c r="E990" s="23"/>
      <c r="F990" s="24"/>
      <c r="G990" s="24"/>
    </row>
    <row r="991" spans="2:7" ht="15.75" customHeight="1" x14ac:dyDescent="0.25">
      <c r="B991" s="23"/>
      <c r="C991" s="23"/>
      <c r="D991" s="23"/>
      <c r="E991" s="23"/>
      <c r="F991" s="24"/>
      <c r="G991" s="24"/>
    </row>
    <row r="992" spans="2:7" ht="15.75" customHeight="1" x14ac:dyDescent="0.25">
      <c r="B992" s="23"/>
      <c r="C992" s="23"/>
      <c r="D992" s="23"/>
      <c r="E992" s="23"/>
      <c r="F992" s="24"/>
      <c r="G992" s="24"/>
    </row>
    <row r="993" spans="2:7" ht="15.75" customHeight="1" x14ac:dyDescent="0.25">
      <c r="B993" s="23"/>
      <c r="C993" s="23"/>
      <c r="D993" s="23"/>
      <c r="E993" s="23"/>
      <c r="F993" s="24"/>
      <c r="G993" s="24"/>
    </row>
    <row r="994" spans="2:7" ht="15.75" customHeight="1" x14ac:dyDescent="0.25">
      <c r="B994" s="23"/>
      <c r="C994" s="23"/>
      <c r="D994" s="23"/>
      <c r="E994" s="23"/>
      <c r="F994" s="24"/>
      <c r="G994" s="24"/>
    </row>
    <row r="995" spans="2:7" ht="15.75" customHeight="1" x14ac:dyDescent="0.25">
      <c r="B995" s="23"/>
      <c r="C995" s="23"/>
      <c r="D995" s="23"/>
      <c r="E995" s="23"/>
      <c r="F995" s="24"/>
      <c r="G995" s="24"/>
    </row>
    <row r="996" spans="2:7" ht="15.75" customHeight="1" x14ac:dyDescent="0.25">
      <c r="B996" s="23"/>
      <c r="C996" s="23"/>
      <c r="D996" s="23"/>
      <c r="E996" s="23"/>
      <c r="F996" s="24"/>
      <c r="G996" s="24"/>
    </row>
    <row r="997" spans="2:7" ht="15.75" customHeight="1" x14ac:dyDescent="0.25">
      <c r="B997" s="23"/>
      <c r="C997" s="23"/>
      <c r="D997" s="23"/>
      <c r="E997" s="23"/>
      <c r="F997" s="24"/>
      <c r="G997" s="24"/>
    </row>
    <row r="998" spans="2:7" ht="15.75" customHeight="1" x14ac:dyDescent="0.25">
      <c r="B998" s="23"/>
      <c r="C998" s="23"/>
      <c r="D998" s="23"/>
      <c r="E998" s="23"/>
      <c r="F998" s="24"/>
      <c r="G998" s="24"/>
    </row>
    <row r="999" spans="2:7" ht="15.75" customHeight="1" x14ac:dyDescent="0.25">
      <c r="B999" s="23"/>
      <c r="C999" s="23"/>
      <c r="D999" s="23"/>
      <c r="E999" s="23"/>
      <c r="F999" s="24"/>
      <c r="G999" s="24"/>
    </row>
    <row r="1000" spans="2:7" ht="15.75" customHeight="1" x14ac:dyDescent="0.25">
      <c r="B1000" s="23"/>
      <c r="C1000" s="23"/>
      <c r="D1000" s="23"/>
      <c r="E1000" s="23"/>
      <c r="F1000" s="24"/>
      <c r="G1000" s="24"/>
    </row>
    <row r="1001" spans="2:7" ht="15.75" customHeight="1" x14ac:dyDescent="0.25">
      <c r="B1001" s="23"/>
      <c r="C1001" s="23"/>
      <c r="D1001" s="23"/>
      <c r="E1001" s="23"/>
      <c r="F1001" s="24"/>
      <c r="G1001" s="24"/>
    </row>
    <row r="1002" spans="2:7" ht="15.75" customHeight="1" x14ac:dyDescent="0.25">
      <c r="B1002" s="23"/>
      <c r="C1002" s="23"/>
      <c r="D1002" s="23"/>
      <c r="E1002" s="23"/>
      <c r="F1002" s="24"/>
      <c r="G1002" s="24"/>
    </row>
    <row r="1003" spans="2:7" ht="15.75" customHeight="1" x14ac:dyDescent="0.25">
      <c r="B1003" s="23"/>
      <c r="C1003" s="23"/>
      <c r="D1003" s="23"/>
      <c r="E1003" s="23"/>
      <c r="F1003" s="24"/>
      <c r="G1003" s="24"/>
    </row>
    <row r="1004" spans="2:7" ht="15.75" customHeight="1" x14ac:dyDescent="0.25">
      <c r="B1004" s="23"/>
      <c r="C1004" s="23"/>
      <c r="D1004" s="23"/>
      <c r="E1004" s="23"/>
      <c r="F1004" s="24"/>
      <c r="G1004" s="24"/>
    </row>
    <row r="1005" spans="2:7" ht="15.75" customHeight="1" x14ac:dyDescent="0.25">
      <c r="B1005" s="23"/>
      <c r="C1005" s="23"/>
      <c r="D1005" s="23"/>
      <c r="E1005" s="23"/>
      <c r="F1005" s="24"/>
      <c r="G1005" s="24"/>
    </row>
    <row r="1006" spans="2:7" ht="15.75" customHeight="1" x14ac:dyDescent="0.25">
      <c r="B1006" s="23"/>
      <c r="C1006" s="23"/>
      <c r="D1006" s="23"/>
      <c r="E1006" s="23"/>
      <c r="F1006" s="24"/>
      <c r="G1006" s="24"/>
    </row>
    <row r="1007" spans="2:7" ht="15.75" customHeight="1" x14ac:dyDescent="0.25">
      <c r="B1007" s="23"/>
      <c r="C1007" s="23"/>
      <c r="D1007" s="23"/>
      <c r="E1007" s="23"/>
      <c r="F1007" s="24"/>
      <c r="G1007" s="24"/>
    </row>
    <row r="1008" spans="2:7" ht="15.75" customHeight="1" x14ac:dyDescent="0.25">
      <c r="B1008" s="23"/>
      <c r="C1008" s="23"/>
      <c r="D1008" s="23"/>
      <c r="E1008" s="23"/>
      <c r="F1008" s="24"/>
      <c r="G1008" s="24"/>
    </row>
    <row r="1009" spans="2:7" ht="15.75" customHeight="1" x14ac:dyDescent="0.25">
      <c r="B1009" s="23"/>
      <c r="C1009" s="23"/>
      <c r="D1009" s="23"/>
      <c r="E1009" s="23"/>
      <c r="F1009" s="24"/>
      <c r="G1009" s="24"/>
    </row>
    <row r="1010" spans="2:7" ht="15.75" customHeight="1" x14ac:dyDescent="0.25">
      <c r="B1010" s="23"/>
      <c r="C1010" s="23"/>
      <c r="D1010" s="23"/>
      <c r="E1010" s="23"/>
      <c r="F1010" s="24"/>
      <c r="G1010" s="24"/>
    </row>
    <row r="1011" spans="2:7" ht="15.75" customHeight="1" x14ac:dyDescent="0.25">
      <c r="B1011" s="23"/>
      <c r="C1011" s="23"/>
      <c r="D1011" s="23"/>
      <c r="E1011" s="23"/>
      <c r="F1011" s="24"/>
      <c r="G1011" s="24"/>
    </row>
    <row r="1012" spans="2:7" ht="15.75" customHeight="1" x14ac:dyDescent="0.25">
      <c r="B1012" s="23"/>
      <c r="C1012" s="23"/>
      <c r="D1012" s="23"/>
      <c r="E1012" s="23"/>
      <c r="F1012" s="24"/>
      <c r="G1012" s="24"/>
    </row>
    <row r="1013" spans="2:7" ht="15.75" customHeight="1" x14ac:dyDescent="0.25">
      <c r="B1013" s="23"/>
      <c r="C1013" s="23"/>
      <c r="D1013" s="23"/>
      <c r="E1013" s="23"/>
      <c r="F1013" s="24"/>
      <c r="G1013" s="24"/>
    </row>
    <row r="1014" spans="2:7" ht="15.75" customHeight="1" x14ac:dyDescent="0.25">
      <c r="B1014" s="23"/>
      <c r="C1014" s="23"/>
      <c r="D1014" s="23"/>
      <c r="E1014" s="23"/>
      <c r="F1014" s="24"/>
      <c r="G1014" s="24"/>
    </row>
    <row r="1015" spans="2:7" ht="15.75" customHeight="1" x14ac:dyDescent="0.25">
      <c r="B1015" s="23"/>
      <c r="C1015" s="23"/>
      <c r="D1015" s="23"/>
      <c r="E1015" s="23"/>
      <c r="F1015" s="24"/>
      <c r="G1015" s="24"/>
    </row>
    <row r="1016" spans="2:7" ht="15.75" customHeight="1" x14ac:dyDescent="0.25">
      <c r="B1016" s="23"/>
      <c r="C1016" s="23"/>
      <c r="D1016" s="23"/>
      <c r="E1016" s="23"/>
      <c r="F1016" s="24"/>
      <c r="G1016" s="24"/>
    </row>
    <row r="1017" spans="2:7" ht="15.75" customHeight="1" x14ac:dyDescent="0.25">
      <c r="B1017" s="23"/>
      <c r="C1017" s="23"/>
      <c r="D1017" s="23"/>
      <c r="E1017" s="23"/>
      <c r="F1017" s="24"/>
      <c r="G1017" s="24"/>
    </row>
    <row r="1018" spans="2:7" ht="15.75" customHeight="1" x14ac:dyDescent="0.25">
      <c r="B1018" s="23"/>
      <c r="C1018" s="23"/>
      <c r="D1018" s="23"/>
      <c r="E1018" s="23"/>
      <c r="F1018" s="24"/>
      <c r="G1018" s="24"/>
    </row>
    <row r="1019" spans="2:7" ht="15.75" customHeight="1" x14ac:dyDescent="0.25">
      <c r="B1019" s="23"/>
      <c r="C1019" s="23"/>
      <c r="D1019" s="23"/>
      <c r="E1019" s="23"/>
      <c r="F1019" s="24"/>
      <c r="G1019" s="24"/>
    </row>
    <row r="1020" spans="2:7" ht="15.75" customHeight="1" x14ac:dyDescent="0.25">
      <c r="B1020" s="23"/>
      <c r="C1020" s="23"/>
      <c r="D1020" s="23"/>
      <c r="E1020" s="23"/>
      <c r="F1020" s="24"/>
      <c r="G1020" s="24"/>
    </row>
    <row r="1021" spans="2:7" ht="15.75" customHeight="1" x14ac:dyDescent="0.25">
      <c r="B1021" s="23"/>
      <c r="C1021" s="23"/>
      <c r="D1021" s="23"/>
      <c r="E1021" s="23"/>
      <c r="F1021" s="24"/>
      <c r="G1021" s="24"/>
    </row>
    <row r="1022" spans="2:7" ht="15.75" customHeight="1" x14ac:dyDescent="0.25">
      <c r="B1022" s="23"/>
      <c r="C1022" s="23"/>
      <c r="D1022" s="23"/>
      <c r="E1022" s="23"/>
      <c r="F1022" s="24"/>
      <c r="G1022" s="24"/>
    </row>
    <row r="1023" spans="2:7" ht="15.75" customHeight="1" x14ac:dyDescent="0.25">
      <c r="B1023" s="23"/>
      <c r="C1023" s="23"/>
      <c r="D1023" s="23"/>
      <c r="E1023" s="23"/>
      <c r="F1023" s="24"/>
      <c r="G1023" s="24"/>
    </row>
    <row r="1024" spans="2:7" ht="15.75" customHeight="1" x14ac:dyDescent="0.25">
      <c r="B1024" s="23"/>
      <c r="C1024" s="23"/>
      <c r="D1024" s="23"/>
      <c r="E1024" s="23"/>
      <c r="F1024" s="24"/>
      <c r="G1024" s="24"/>
    </row>
    <row r="1025" spans="2:7" ht="15.75" customHeight="1" x14ac:dyDescent="0.25">
      <c r="B1025" s="23"/>
      <c r="C1025" s="23"/>
      <c r="D1025" s="23"/>
      <c r="E1025" s="23"/>
      <c r="F1025" s="24"/>
      <c r="G1025" s="24"/>
    </row>
    <row r="1026" spans="2:7" ht="15.75" customHeight="1" x14ac:dyDescent="0.25">
      <c r="B1026" s="23"/>
      <c r="C1026" s="23"/>
      <c r="D1026" s="23"/>
      <c r="E1026" s="23"/>
      <c r="F1026" s="24"/>
      <c r="G1026" s="24"/>
    </row>
    <row r="1027" spans="2:7" ht="15.75" customHeight="1" x14ac:dyDescent="0.25">
      <c r="B1027" s="23"/>
      <c r="C1027" s="23"/>
      <c r="D1027" s="23"/>
      <c r="E1027" s="23"/>
      <c r="F1027" s="24"/>
      <c r="G1027" s="24"/>
    </row>
    <row r="1028" spans="2:7" ht="15.75" customHeight="1" x14ac:dyDescent="0.25">
      <c r="B1028" s="23"/>
      <c r="C1028" s="23"/>
      <c r="D1028" s="23"/>
      <c r="E1028" s="23"/>
      <c r="F1028" s="24"/>
      <c r="G1028" s="24"/>
    </row>
    <row r="1029" spans="2:7" ht="15.75" customHeight="1" x14ac:dyDescent="0.25">
      <c r="B1029" s="23"/>
      <c r="C1029" s="23"/>
      <c r="D1029" s="23"/>
      <c r="E1029" s="23"/>
      <c r="F1029" s="24"/>
      <c r="G1029" s="24"/>
    </row>
    <row r="1030" spans="2:7" ht="15.75" customHeight="1" x14ac:dyDescent="0.25">
      <c r="B1030" s="23"/>
      <c r="C1030" s="23"/>
      <c r="D1030" s="23"/>
      <c r="E1030" s="23"/>
      <c r="F1030" s="24"/>
      <c r="G1030" s="24"/>
    </row>
    <row r="1031" spans="2:7" ht="15.75" customHeight="1" x14ac:dyDescent="0.25">
      <c r="B1031" s="23"/>
      <c r="C1031" s="23"/>
      <c r="D1031" s="23"/>
      <c r="E1031" s="23"/>
      <c r="F1031" s="24"/>
      <c r="G1031" s="24"/>
    </row>
    <row r="1032" spans="2:7" ht="15.75" customHeight="1" x14ac:dyDescent="0.25">
      <c r="B1032" s="23"/>
      <c r="C1032" s="23"/>
      <c r="D1032" s="23"/>
      <c r="E1032" s="23"/>
      <c r="F1032" s="24"/>
      <c r="G1032" s="24"/>
    </row>
    <row r="1033" spans="2:7" ht="15.75" customHeight="1" x14ac:dyDescent="0.25">
      <c r="B1033" s="23"/>
      <c r="C1033" s="23"/>
      <c r="D1033" s="23"/>
      <c r="E1033" s="23"/>
      <c r="F1033" s="24"/>
      <c r="G1033" s="24"/>
    </row>
    <row r="1034" spans="2:7" ht="15.75" customHeight="1" x14ac:dyDescent="0.25">
      <c r="B1034" s="23"/>
      <c r="C1034" s="23"/>
      <c r="D1034" s="23"/>
      <c r="E1034" s="23"/>
      <c r="F1034" s="24"/>
      <c r="G1034" s="24"/>
    </row>
    <row r="1035" spans="2:7" ht="15.75" customHeight="1" x14ac:dyDescent="0.25">
      <c r="B1035" s="23"/>
      <c r="C1035" s="23"/>
      <c r="D1035" s="23"/>
      <c r="E1035" s="23"/>
      <c r="F1035" s="24"/>
      <c r="G1035" s="24"/>
    </row>
    <row r="1036" spans="2:7" ht="15.75" customHeight="1" x14ac:dyDescent="0.25">
      <c r="B1036" s="23"/>
      <c r="C1036" s="23"/>
      <c r="D1036" s="23"/>
      <c r="E1036" s="23"/>
      <c r="F1036" s="24"/>
      <c r="G1036" s="24"/>
    </row>
    <row r="1037" spans="2:7" ht="15.75" customHeight="1" x14ac:dyDescent="0.25">
      <c r="B1037" s="23"/>
      <c r="C1037" s="23"/>
      <c r="D1037" s="23"/>
      <c r="E1037" s="23"/>
      <c r="F1037" s="24"/>
      <c r="G1037" s="24"/>
    </row>
    <row r="1038" spans="2:7" ht="15" customHeight="1" x14ac:dyDescent="0.25">
      <c r="B1038" s="23"/>
      <c r="C1038" s="23"/>
      <c r="D1038" s="23"/>
      <c r="E1038" s="23"/>
      <c r="F1038" s="24"/>
      <c r="G1038" s="24"/>
    </row>
    <row r="1039" spans="2:7" ht="15" customHeight="1" x14ac:dyDescent="0.25">
      <c r="B1039" s="23"/>
      <c r="C1039" s="23"/>
      <c r="D1039" s="23"/>
      <c r="E1039" s="23"/>
      <c r="F1039" s="24"/>
      <c r="G1039" s="24"/>
    </row>
    <row r="1040" spans="2:7" ht="15" customHeight="1" x14ac:dyDescent="0.25">
      <c r="B1040" s="23"/>
      <c r="C1040" s="23"/>
      <c r="D1040" s="23"/>
      <c r="E1040" s="23"/>
      <c r="F1040" s="24"/>
      <c r="G1040" s="24"/>
    </row>
  </sheetData>
  <mergeCells count="20">
    <mergeCell ref="A85:B85"/>
    <mergeCell ref="A87:B87"/>
    <mergeCell ref="A80:C80"/>
    <mergeCell ref="A81:B81"/>
    <mergeCell ref="A82:B82"/>
    <mergeCell ref="A83:B83"/>
    <mergeCell ref="A84:B84"/>
    <mergeCell ref="C76:D76"/>
    <mergeCell ref="A76:B76"/>
    <mergeCell ref="A78:B78"/>
    <mergeCell ref="A79:B79"/>
    <mergeCell ref="A77:C77"/>
    <mergeCell ref="A1:G1"/>
    <mergeCell ref="A3:E3"/>
    <mergeCell ref="A2:G2"/>
    <mergeCell ref="F3:G3"/>
    <mergeCell ref="A57:E57"/>
    <mergeCell ref="A25:E25"/>
    <mergeCell ref="F25:H25"/>
    <mergeCell ref="F57:H57"/>
  </mergeCells>
  <printOptions horizontalCentered="1"/>
  <pageMargins left="0.51181102362204722" right="0.51181102362204722" top="0.78740157480314965" bottom="0.78740157480314965" header="0" footer="0"/>
  <pageSetup paperSize="9" scale="67" fitToHeight="0" orientation="landscape" r:id="rId1"/>
  <rowBreaks count="2" manualBreakCount="2">
    <brk id="23" max="16383" man="1"/>
    <brk id="55" max="16383" man="1"/>
  </rowBreaks>
  <drawing r:id="rId2"/>
  <tableParts count="3">
    <tablePart r:id="rId3"/>
    <tablePart r:id="rId4"/>
    <tablePart r:id="rId5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H7"/>
  <sheetViews>
    <sheetView workbookViewId="0"/>
  </sheetViews>
  <sheetFormatPr defaultColWidth="0" defaultRowHeight="30" customHeight="1" zeroHeight="1" x14ac:dyDescent="0.25"/>
  <cols>
    <col min="1" max="1" width="9" style="48" customWidth="1"/>
    <col min="2" max="3" width="15.140625" style="48" customWidth="1"/>
    <col min="4" max="4" width="16" style="48" bestFit="1" customWidth="1"/>
    <col min="5" max="5" width="15.7109375" style="48" customWidth="1"/>
    <col min="6" max="6" width="20.7109375" style="48" customWidth="1"/>
    <col min="7" max="7" width="71.42578125" style="48" customWidth="1"/>
    <col min="8" max="8" width="1.7109375" style="48" customWidth="1"/>
    <col min="9" max="16384" width="9.140625" style="48" hidden="1"/>
  </cols>
  <sheetData>
    <row r="1" spans="1:7" s="38" customFormat="1" ht="40.5" customHeight="1" x14ac:dyDescent="0.25">
      <c r="B1" s="285" t="s">
        <v>914</v>
      </c>
      <c r="C1" s="37"/>
      <c r="D1" s="37"/>
      <c r="E1" s="37"/>
      <c r="F1" s="37"/>
      <c r="G1" s="37"/>
    </row>
    <row r="2" spans="1:7" customFormat="1" ht="15" customHeight="1" thickBot="1" x14ac:dyDescent="0.3">
      <c r="B2" s="50"/>
      <c r="C2" s="42"/>
      <c r="D2" s="42"/>
      <c r="E2" s="42"/>
      <c r="F2" s="42"/>
      <c r="G2" s="42"/>
    </row>
    <row r="3" spans="1:7" s="49" customFormat="1" ht="30" customHeight="1" thickBot="1" x14ac:dyDescent="0.3">
      <c r="A3" s="51" t="s">
        <v>915</v>
      </c>
      <c r="B3" s="52" t="s">
        <v>719</v>
      </c>
      <c r="C3" s="52" t="s">
        <v>916</v>
      </c>
      <c r="D3" s="52" t="s">
        <v>917</v>
      </c>
      <c r="E3" s="52" t="s">
        <v>918</v>
      </c>
      <c r="F3" s="52" t="s">
        <v>919</v>
      </c>
      <c r="G3" s="53" t="s">
        <v>920</v>
      </c>
    </row>
    <row r="4" spans="1:7" s="47" customFormat="1" ht="60" x14ac:dyDescent="0.25">
      <c r="A4" s="316" t="s">
        <v>921</v>
      </c>
      <c r="B4" s="380" t="s">
        <v>1199</v>
      </c>
      <c r="C4" s="317" t="s">
        <v>922</v>
      </c>
      <c r="D4" s="318">
        <f>220/44*E4</f>
        <v>200</v>
      </c>
      <c r="E4" s="318">
        <v>40</v>
      </c>
      <c r="F4" s="318" t="s">
        <v>923</v>
      </c>
      <c r="G4" s="319" t="s">
        <v>924</v>
      </c>
    </row>
    <row r="5" spans="1:7" s="47" customFormat="1" ht="60.75" thickBot="1" x14ac:dyDescent="0.3">
      <c r="A5" s="320" t="s">
        <v>925</v>
      </c>
      <c r="B5" s="321" t="s">
        <v>926</v>
      </c>
      <c r="C5" s="322" t="s">
        <v>922</v>
      </c>
      <c r="D5" s="322">
        <f>220/44*E5</f>
        <v>220</v>
      </c>
      <c r="E5" s="322">
        <v>44</v>
      </c>
      <c r="F5" s="322" t="s">
        <v>927</v>
      </c>
      <c r="G5" s="323" t="s">
        <v>928</v>
      </c>
    </row>
    <row r="6" spans="1:7" ht="90.75" thickBot="1" x14ac:dyDescent="0.3">
      <c r="A6" s="392" t="s">
        <v>929</v>
      </c>
      <c r="B6" s="393" t="s">
        <v>1234</v>
      </c>
      <c r="C6" s="394" t="s">
        <v>922</v>
      </c>
      <c r="D6" s="395">
        <f>220/44*E6</f>
        <v>220</v>
      </c>
      <c r="E6" s="395">
        <v>44</v>
      </c>
      <c r="F6" s="394" t="s">
        <v>930</v>
      </c>
      <c r="G6" s="396" t="s">
        <v>931</v>
      </c>
    </row>
    <row r="7" spans="1:7" ht="8.25" customHeight="1" x14ac:dyDescent="0.25">
      <c r="A7" s="283"/>
      <c r="B7" s="283"/>
      <c r="C7" s="283"/>
      <c r="D7" s="283"/>
      <c r="E7" s="283"/>
      <c r="F7" s="283"/>
      <c r="G7" s="283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fitToHeight="0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T157"/>
  <sheetViews>
    <sheetView workbookViewId="0"/>
  </sheetViews>
  <sheetFormatPr defaultColWidth="8.85546875" defaultRowHeight="15" x14ac:dyDescent="0.25"/>
  <cols>
    <col min="1" max="1" width="38.28515625" bestFit="1" customWidth="1"/>
    <col min="2" max="2" width="51.140625" customWidth="1"/>
    <col min="3" max="3" width="10.7109375" bestFit="1" customWidth="1"/>
    <col min="4" max="4" width="55.42578125" bestFit="1" customWidth="1"/>
    <col min="5" max="5" width="12.28515625" bestFit="1" customWidth="1"/>
    <col min="6" max="7" width="12.28515625" customWidth="1"/>
    <col min="8" max="8" width="55.42578125" bestFit="1" customWidth="1"/>
    <col min="10" max="10" width="21.7109375" bestFit="1" customWidth="1"/>
    <col min="12" max="12" width="51.5703125" customWidth="1"/>
    <col min="14" max="14" width="32" customWidth="1"/>
  </cols>
  <sheetData>
    <row r="1" spans="1:20" x14ac:dyDescent="0.25">
      <c r="A1" s="283" t="s">
        <v>595</v>
      </c>
      <c r="B1" s="283" t="s">
        <v>932</v>
      </c>
      <c r="C1" s="283" t="s">
        <v>933</v>
      </c>
      <c r="D1" s="283" t="s">
        <v>934</v>
      </c>
      <c r="E1" s="283" t="s">
        <v>935</v>
      </c>
      <c r="F1" s="283"/>
      <c r="G1" s="283" t="s">
        <v>936</v>
      </c>
      <c r="H1" s="283" t="s">
        <v>937</v>
      </c>
      <c r="J1" s="283" t="s">
        <v>938</v>
      </c>
      <c r="L1" s="283" t="s">
        <v>939</v>
      </c>
      <c r="N1" t="s">
        <v>940</v>
      </c>
      <c r="O1" t="s">
        <v>941</v>
      </c>
      <c r="P1" t="s">
        <v>942</v>
      </c>
      <c r="Q1" t="s">
        <v>943</v>
      </c>
      <c r="R1" t="s">
        <v>944</v>
      </c>
      <c r="S1" t="s">
        <v>945</v>
      </c>
      <c r="T1" t="s">
        <v>946</v>
      </c>
    </row>
    <row r="2" spans="1:20" x14ac:dyDescent="0.25">
      <c r="A2" t="s">
        <v>947</v>
      </c>
      <c r="B2" s="283" t="s">
        <v>9</v>
      </c>
      <c r="C2" t="s">
        <v>948</v>
      </c>
      <c r="D2" t="s">
        <v>93</v>
      </c>
      <c r="E2" t="s">
        <v>949</v>
      </c>
      <c r="G2" t="s">
        <v>135</v>
      </c>
      <c r="H2" t="s">
        <v>61</v>
      </c>
      <c r="J2" t="str">
        <f t="array" ref="J2">TRANSPOSE('DADOS CCT'!D3:XFD3)</f>
        <v>00 - VALOR ESTIMADO</v>
      </c>
      <c r="L2" s="283" t="s">
        <v>950</v>
      </c>
      <c r="N2" t="s">
        <v>25</v>
      </c>
      <c r="O2" t="s">
        <v>63</v>
      </c>
      <c r="P2" t="s">
        <v>580</v>
      </c>
    </row>
    <row r="3" spans="1:20" x14ac:dyDescent="0.25">
      <c r="A3" s="283" t="s">
        <v>951</v>
      </c>
      <c r="B3" s="283" t="s">
        <v>10</v>
      </c>
      <c r="C3" t="s">
        <v>952</v>
      </c>
      <c r="D3" s="283" t="s">
        <v>96</v>
      </c>
      <c r="E3" t="s">
        <v>949</v>
      </c>
      <c r="G3" t="s">
        <v>147</v>
      </c>
      <c r="H3" t="s">
        <v>77</v>
      </c>
      <c r="N3" t="s">
        <v>26</v>
      </c>
      <c r="O3" t="s">
        <v>81</v>
      </c>
      <c r="P3" t="s">
        <v>125</v>
      </c>
      <c r="S3" t="s">
        <v>1160</v>
      </c>
      <c r="T3" t="s">
        <v>1159</v>
      </c>
    </row>
    <row r="4" spans="1:20" x14ac:dyDescent="0.25">
      <c r="A4" s="283" t="s">
        <v>953</v>
      </c>
      <c r="B4" s="283" t="s">
        <v>11</v>
      </c>
      <c r="C4" t="s">
        <v>954</v>
      </c>
      <c r="D4" t="s">
        <v>99</v>
      </c>
      <c r="E4" t="s">
        <v>949</v>
      </c>
      <c r="G4" t="s">
        <v>955</v>
      </c>
      <c r="H4" t="s">
        <v>83</v>
      </c>
      <c r="N4" t="s">
        <v>27</v>
      </c>
      <c r="O4" t="s">
        <v>956</v>
      </c>
    </row>
    <row r="5" spans="1:20" x14ac:dyDescent="0.25">
      <c r="A5" s="283" t="s">
        <v>957</v>
      </c>
      <c r="B5" s="283" t="s">
        <v>12</v>
      </c>
      <c r="C5" t="s">
        <v>958</v>
      </c>
      <c r="D5" t="s">
        <v>106</v>
      </c>
      <c r="E5" t="s">
        <v>949</v>
      </c>
      <c r="G5" t="s">
        <v>266</v>
      </c>
      <c r="H5" t="s">
        <v>65</v>
      </c>
      <c r="N5" t="s">
        <v>28</v>
      </c>
      <c r="O5" t="s">
        <v>959</v>
      </c>
    </row>
    <row r="6" spans="1:20" x14ac:dyDescent="0.25">
      <c r="A6" s="283" t="s">
        <v>960</v>
      </c>
      <c r="B6" s="283" t="s">
        <v>13</v>
      </c>
      <c r="C6" t="s">
        <v>961</v>
      </c>
      <c r="D6" t="s">
        <v>109</v>
      </c>
      <c r="E6" t="s">
        <v>949</v>
      </c>
      <c r="G6" t="s">
        <v>282</v>
      </c>
      <c r="H6" t="s">
        <v>280</v>
      </c>
      <c r="N6" t="s">
        <v>29</v>
      </c>
      <c r="O6" t="s">
        <v>117</v>
      </c>
    </row>
    <row r="7" spans="1:20" x14ac:dyDescent="0.25">
      <c r="A7" s="283" t="s">
        <v>962</v>
      </c>
      <c r="B7" s="283" t="s">
        <v>14</v>
      </c>
      <c r="C7" t="s">
        <v>963</v>
      </c>
      <c r="D7" t="s">
        <v>111</v>
      </c>
      <c r="E7" t="s">
        <v>949</v>
      </c>
      <c r="G7" t="s">
        <v>289</v>
      </c>
      <c r="H7" t="s">
        <v>288</v>
      </c>
      <c r="N7" t="s">
        <v>30</v>
      </c>
      <c r="O7" t="s">
        <v>119</v>
      </c>
    </row>
    <row r="8" spans="1:20" x14ac:dyDescent="0.25">
      <c r="A8" t="s">
        <v>964</v>
      </c>
      <c r="B8" s="283" t="s">
        <v>15</v>
      </c>
      <c r="C8" t="s">
        <v>965</v>
      </c>
      <c r="D8" t="s">
        <v>497</v>
      </c>
      <c r="E8" t="s">
        <v>949</v>
      </c>
      <c r="G8" t="s">
        <v>90</v>
      </c>
      <c r="H8" t="s">
        <v>88</v>
      </c>
    </row>
    <row r="9" spans="1:20" x14ac:dyDescent="0.25">
      <c r="A9" s="283" t="s">
        <v>966</v>
      </c>
      <c r="B9" s="283" t="s">
        <v>16</v>
      </c>
      <c r="C9" t="s">
        <v>967</v>
      </c>
      <c r="D9" t="s">
        <v>260</v>
      </c>
      <c r="E9" t="s">
        <v>949</v>
      </c>
      <c r="G9" t="s">
        <v>303</v>
      </c>
      <c r="H9" t="s">
        <v>82</v>
      </c>
    </row>
    <row r="10" spans="1:20" x14ac:dyDescent="0.25">
      <c r="A10" s="283" t="s">
        <v>968</v>
      </c>
      <c r="B10" s="283" t="s">
        <v>17</v>
      </c>
      <c r="C10" t="s">
        <v>135</v>
      </c>
      <c r="D10" t="s">
        <v>61</v>
      </c>
      <c r="E10" s="283" t="s">
        <v>969</v>
      </c>
      <c r="G10" t="s">
        <v>970</v>
      </c>
      <c r="H10" t="s">
        <v>971</v>
      </c>
    </row>
    <row r="11" spans="1:20" x14ac:dyDescent="0.25">
      <c r="A11" s="283" t="s">
        <v>972</v>
      </c>
      <c r="B11" s="283" t="s">
        <v>18</v>
      </c>
      <c r="C11" t="s">
        <v>147</v>
      </c>
      <c r="D11" t="s">
        <v>77</v>
      </c>
      <c r="E11" s="283" t="s">
        <v>969</v>
      </c>
      <c r="G11" t="s">
        <v>329</v>
      </c>
      <c r="H11" t="s">
        <v>327</v>
      </c>
    </row>
    <row r="12" spans="1:20" x14ac:dyDescent="0.25">
      <c r="A12" s="283" t="s">
        <v>973</v>
      </c>
      <c r="B12" s="283" t="s">
        <v>20</v>
      </c>
      <c r="C12" t="s">
        <v>955</v>
      </c>
      <c r="D12" t="s">
        <v>83</v>
      </c>
      <c r="E12" s="283" t="s">
        <v>969</v>
      </c>
      <c r="G12" t="s">
        <v>974</v>
      </c>
      <c r="H12" t="s">
        <v>975</v>
      </c>
    </row>
    <row r="13" spans="1:20" x14ac:dyDescent="0.25">
      <c r="A13" s="283" t="s">
        <v>976</v>
      </c>
      <c r="B13" s="283" t="s">
        <v>21</v>
      </c>
      <c r="C13" t="s">
        <v>266</v>
      </c>
      <c r="D13" t="s">
        <v>65</v>
      </c>
      <c r="E13" s="283" t="s">
        <v>969</v>
      </c>
      <c r="G13" t="s">
        <v>977</v>
      </c>
      <c r="H13" t="s">
        <v>123</v>
      </c>
    </row>
    <row r="14" spans="1:20" x14ac:dyDescent="0.25">
      <c r="A14" s="283" t="s">
        <v>978</v>
      </c>
      <c r="B14" s="283" t="s">
        <v>22</v>
      </c>
      <c r="C14" t="s">
        <v>282</v>
      </c>
      <c r="D14" t="s">
        <v>280</v>
      </c>
      <c r="E14" s="283" t="s">
        <v>969</v>
      </c>
      <c r="G14" t="s">
        <v>979</v>
      </c>
      <c r="H14" t="s">
        <v>407</v>
      </c>
    </row>
    <row r="15" spans="1:20" x14ac:dyDescent="0.25">
      <c r="A15" s="283"/>
      <c r="B15" s="283" t="s">
        <v>23</v>
      </c>
      <c r="C15" t="s">
        <v>289</v>
      </c>
      <c r="D15" t="s">
        <v>288</v>
      </c>
      <c r="E15" s="283" t="s">
        <v>969</v>
      </c>
      <c r="G15" t="s">
        <v>980</v>
      </c>
      <c r="H15" t="s">
        <v>441</v>
      </c>
    </row>
    <row r="16" spans="1:20" x14ac:dyDescent="0.25">
      <c r="A16" s="283"/>
      <c r="B16" s="283"/>
      <c r="C16" t="s">
        <v>90</v>
      </c>
      <c r="D16" t="s">
        <v>88</v>
      </c>
      <c r="E16" s="283" t="s">
        <v>969</v>
      </c>
      <c r="G16" t="s">
        <v>949</v>
      </c>
      <c r="H16" t="s">
        <v>489</v>
      </c>
    </row>
    <row r="17" spans="2:8" x14ac:dyDescent="0.25">
      <c r="B17" s="283"/>
      <c r="C17" t="s">
        <v>303</v>
      </c>
      <c r="D17" t="s">
        <v>82</v>
      </c>
      <c r="E17" s="283" t="s">
        <v>969</v>
      </c>
      <c r="G17" t="s">
        <v>969</v>
      </c>
      <c r="H17" t="s">
        <v>981</v>
      </c>
    </row>
    <row r="18" spans="2:8" x14ac:dyDescent="0.25">
      <c r="B18" s="283"/>
      <c r="C18" t="s">
        <v>970</v>
      </c>
      <c r="D18" s="283" t="s">
        <v>340</v>
      </c>
      <c r="E18" s="283" t="s">
        <v>969</v>
      </c>
      <c r="G18" t="s">
        <v>948</v>
      </c>
      <c r="H18" t="s">
        <v>93</v>
      </c>
    </row>
    <row r="19" spans="2:8" x14ac:dyDescent="0.25">
      <c r="C19" t="s">
        <v>329</v>
      </c>
      <c r="D19" t="s">
        <v>327</v>
      </c>
      <c r="E19" s="283" t="s">
        <v>969</v>
      </c>
      <c r="G19" t="s">
        <v>952</v>
      </c>
      <c r="H19" s="283" t="s">
        <v>96</v>
      </c>
    </row>
    <row r="20" spans="2:8" x14ac:dyDescent="0.25">
      <c r="C20" t="s">
        <v>974</v>
      </c>
      <c r="D20" s="283" t="s">
        <v>114</v>
      </c>
      <c r="E20" s="283" t="s">
        <v>969</v>
      </c>
      <c r="G20" t="s">
        <v>954</v>
      </c>
      <c r="H20" t="s">
        <v>99</v>
      </c>
    </row>
    <row r="21" spans="2:8" x14ac:dyDescent="0.25">
      <c r="C21" t="s">
        <v>977</v>
      </c>
      <c r="D21" s="283" t="s">
        <v>123</v>
      </c>
      <c r="E21" s="283" t="s">
        <v>969</v>
      </c>
      <c r="G21" t="s">
        <v>958</v>
      </c>
      <c r="H21" t="s">
        <v>106</v>
      </c>
    </row>
    <row r="22" spans="2:8" x14ac:dyDescent="0.25">
      <c r="C22" t="s">
        <v>979</v>
      </c>
      <c r="D22" s="283" t="s">
        <v>407</v>
      </c>
      <c r="E22" s="283" t="s">
        <v>969</v>
      </c>
      <c r="G22" t="s">
        <v>961</v>
      </c>
      <c r="H22" t="s">
        <v>109</v>
      </c>
    </row>
    <row r="23" spans="2:8" x14ac:dyDescent="0.25">
      <c r="C23" t="s">
        <v>980</v>
      </c>
      <c r="D23" s="283" t="s">
        <v>441</v>
      </c>
      <c r="E23" s="283" t="s">
        <v>969</v>
      </c>
      <c r="G23" t="s">
        <v>963</v>
      </c>
      <c r="H23" t="s">
        <v>111</v>
      </c>
    </row>
    <row r="24" spans="2:8" x14ac:dyDescent="0.25">
      <c r="C24" t="s">
        <v>982</v>
      </c>
      <c r="D24" s="283" t="s">
        <v>983</v>
      </c>
      <c r="E24" t="s">
        <v>949</v>
      </c>
      <c r="G24" t="s">
        <v>965</v>
      </c>
      <c r="H24" t="s">
        <v>497</v>
      </c>
    </row>
    <row r="25" spans="2:8" x14ac:dyDescent="0.25">
      <c r="C25" s="283" t="s">
        <v>984</v>
      </c>
      <c r="D25" s="283" t="s">
        <v>485</v>
      </c>
      <c r="E25" t="s">
        <v>949</v>
      </c>
      <c r="F25" s="283"/>
      <c r="G25" t="s">
        <v>967</v>
      </c>
      <c r="H25" t="s">
        <v>260</v>
      </c>
    </row>
    <row r="26" spans="2:8" x14ac:dyDescent="0.25">
      <c r="C26" s="283" t="s">
        <v>985</v>
      </c>
      <c r="D26" s="283" t="s">
        <v>986</v>
      </c>
      <c r="E26" t="s">
        <v>949</v>
      </c>
      <c r="F26" s="283"/>
      <c r="G26" s="283" t="s">
        <v>984</v>
      </c>
      <c r="H26" s="283" t="s">
        <v>485</v>
      </c>
    </row>
    <row r="27" spans="2:8" x14ac:dyDescent="0.25">
      <c r="C27" s="283" t="s">
        <v>406</v>
      </c>
      <c r="D27" t="s">
        <v>501</v>
      </c>
      <c r="E27" t="s">
        <v>948</v>
      </c>
    </row>
    <row r="28" spans="2:8" x14ac:dyDescent="0.25">
      <c r="C28" s="283" t="s">
        <v>987</v>
      </c>
      <c r="D28" t="s">
        <v>988</v>
      </c>
      <c r="E28" t="s">
        <v>948</v>
      </c>
    </row>
    <row r="29" spans="2:8" x14ac:dyDescent="0.25">
      <c r="C29" s="283" t="s">
        <v>989</v>
      </c>
      <c r="D29" t="s">
        <v>990</v>
      </c>
      <c r="E29" t="s">
        <v>963</v>
      </c>
    </row>
    <row r="30" spans="2:8" x14ac:dyDescent="0.25">
      <c r="C30" s="283" t="s">
        <v>991</v>
      </c>
      <c r="D30" t="s">
        <v>992</v>
      </c>
      <c r="E30" t="s">
        <v>954</v>
      </c>
    </row>
    <row r="31" spans="2:8" x14ac:dyDescent="0.25">
      <c r="C31" s="283" t="s">
        <v>993</v>
      </c>
      <c r="D31" s="283" t="s">
        <v>994</v>
      </c>
      <c r="E31" t="s">
        <v>948</v>
      </c>
    </row>
    <row r="32" spans="2:8" x14ac:dyDescent="0.25">
      <c r="C32" s="283" t="s">
        <v>995</v>
      </c>
      <c r="D32" t="s">
        <v>996</v>
      </c>
      <c r="E32" t="s">
        <v>963</v>
      </c>
    </row>
    <row r="33" spans="3:5" x14ac:dyDescent="0.25">
      <c r="C33" s="283" t="s">
        <v>537</v>
      </c>
      <c r="D33" s="283" t="s">
        <v>997</v>
      </c>
      <c r="E33" t="s">
        <v>961</v>
      </c>
    </row>
    <row r="34" spans="3:5" x14ac:dyDescent="0.25">
      <c r="C34" s="283" t="s">
        <v>998</v>
      </c>
      <c r="D34" s="283" t="s">
        <v>999</v>
      </c>
      <c r="E34" t="s">
        <v>961</v>
      </c>
    </row>
    <row r="35" spans="3:5" x14ac:dyDescent="0.25">
      <c r="C35" s="283" t="s">
        <v>1000</v>
      </c>
      <c r="D35" t="s">
        <v>516</v>
      </c>
      <c r="E35" t="s">
        <v>963</v>
      </c>
    </row>
    <row r="36" spans="3:5" x14ac:dyDescent="0.25">
      <c r="C36" s="283" t="s">
        <v>95</v>
      </c>
      <c r="D36" t="s">
        <v>1001</v>
      </c>
      <c r="E36" t="s">
        <v>948</v>
      </c>
    </row>
    <row r="37" spans="3:5" x14ac:dyDescent="0.25">
      <c r="C37" s="283" t="s">
        <v>1002</v>
      </c>
      <c r="D37" t="s">
        <v>1003</v>
      </c>
      <c r="E37" t="s">
        <v>266</v>
      </c>
    </row>
    <row r="38" spans="3:5" x14ac:dyDescent="0.25">
      <c r="D38" t="s">
        <v>1004</v>
      </c>
    </row>
    <row r="39" spans="3:5" x14ac:dyDescent="0.25">
      <c r="D39" t="s">
        <v>1005</v>
      </c>
    </row>
    <row r="40" spans="3:5" x14ac:dyDescent="0.25">
      <c r="D40" t="s">
        <v>543</v>
      </c>
    </row>
    <row r="41" spans="3:5" x14ac:dyDescent="0.25">
      <c r="D41" t="s">
        <v>1006</v>
      </c>
    </row>
    <row r="42" spans="3:5" x14ac:dyDescent="0.25">
      <c r="D42" t="s">
        <v>1007</v>
      </c>
    </row>
    <row r="43" spans="3:5" x14ac:dyDescent="0.25">
      <c r="D43" t="s">
        <v>1008</v>
      </c>
    </row>
    <row r="44" spans="3:5" x14ac:dyDescent="0.25">
      <c r="D44" t="s">
        <v>1009</v>
      </c>
    </row>
    <row r="45" spans="3:5" x14ac:dyDescent="0.25">
      <c r="D45" t="s">
        <v>441</v>
      </c>
    </row>
    <row r="46" spans="3:5" x14ac:dyDescent="0.25">
      <c r="D46" t="s">
        <v>1010</v>
      </c>
    </row>
    <row r="47" spans="3:5" x14ac:dyDescent="0.25">
      <c r="D47" t="s">
        <v>990</v>
      </c>
    </row>
    <row r="48" spans="3:5" x14ac:dyDescent="0.25">
      <c r="D48" t="s">
        <v>1011</v>
      </c>
    </row>
    <row r="49" spans="4:4" x14ac:dyDescent="0.25">
      <c r="D49" t="s">
        <v>1012</v>
      </c>
    </row>
    <row r="50" spans="4:4" x14ac:dyDescent="0.25">
      <c r="D50" t="s">
        <v>1013</v>
      </c>
    </row>
    <row r="51" spans="4:4" x14ac:dyDescent="0.25">
      <c r="D51" t="s">
        <v>975</v>
      </c>
    </row>
    <row r="52" spans="4:4" x14ac:dyDescent="0.25">
      <c r="D52" t="s">
        <v>123</v>
      </c>
    </row>
    <row r="53" spans="4:4" x14ac:dyDescent="0.25">
      <c r="D53" t="s">
        <v>1014</v>
      </c>
    </row>
    <row r="54" spans="4:4" x14ac:dyDescent="0.25">
      <c r="D54" t="s">
        <v>1015</v>
      </c>
    </row>
    <row r="55" spans="4:4" x14ac:dyDescent="0.25">
      <c r="D55" t="s">
        <v>1016</v>
      </c>
    </row>
    <row r="56" spans="4:4" x14ac:dyDescent="0.25">
      <c r="D56" t="s">
        <v>1017</v>
      </c>
    </row>
    <row r="57" spans="4:4" x14ac:dyDescent="0.25">
      <c r="D57" t="s">
        <v>506</v>
      </c>
    </row>
    <row r="58" spans="4:4" x14ac:dyDescent="0.25">
      <c r="D58" t="s">
        <v>1018</v>
      </c>
    </row>
    <row r="59" spans="4:4" x14ac:dyDescent="0.25">
      <c r="D59" t="s">
        <v>1019</v>
      </c>
    </row>
    <row r="60" spans="4:4" x14ac:dyDescent="0.25">
      <c r="D60" t="s">
        <v>1020</v>
      </c>
    </row>
    <row r="61" spans="4:4" x14ac:dyDescent="0.25">
      <c r="D61" t="s">
        <v>1021</v>
      </c>
    </row>
    <row r="62" spans="4:4" x14ac:dyDescent="0.25">
      <c r="D62" t="s">
        <v>1008</v>
      </c>
    </row>
    <row r="63" spans="4:4" x14ac:dyDescent="0.25">
      <c r="D63" t="s">
        <v>1017</v>
      </c>
    </row>
    <row r="64" spans="4:4" x14ac:dyDescent="0.25">
      <c r="D64" t="s">
        <v>1022</v>
      </c>
    </row>
    <row r="65" spans="4:4" x14ac:dyDescent="0.25">
      <c r="D65" t="s">
        <v>1023</v>
      </c>
    </row>
    <row r="66" spans="4:4" x14ac:dyDescent="0.25">
      <c r="D66" t="s">
        <v>983</v>
      </c>
    </row>
    <row r="67" spans="4:4" x14ac:dyDescent="0.25">
      <c r="D67" t="s">
        <v>1024</v>
      </c>
    </row>
    <row r="68" spans="4:4" x14ac:dyDescent="0.25">
      <c r="D68" t="s">
        <v>971</v>
      </c>
    </row>
    <row r="69" spans="4:4" x14ac:dyDescent="0.25">
      <c r="D69" t="s">
        <v>1025</v>
      </c>
    </row>
    <row r="70" spans="4:4" x14ac:dyDescent="0.25">
      <c r="D70" t="s">
        <v>1026</v>
      </c>
    </row>
    <row r="71" spans="4:4" x14ac:dyDescent="0.25">
      <c r="D71" t="s">
        <v>407</v>
      </c>
    </row>
    <row r="72" spans="4:4" x14ac:dyDescent="0.25">
      <c r="D72" t="s">
        <v>441</v>
      </c>
    </row>
    <row r="73" spans="4:4" x14ac:dyDescent="0.25">
      <c r="D73" t="s">
        <v>1027</v>
      </c>
    </row>
    <row r="74" spans="4:4" x14ac:dyDescent="0.25">
      <c r="D74" t="s">
        <v>123</v>
      </c>
    </row>
    <row r="75" spans="4:4" x14ac:dyDescent="0.25">
      <c r="D75" t="s">
        <v>1028</v>
      </c>
    </row>
    <row r="76" spans="4:4" x14ac:dyDescent="0.25">
      <c r="D76" t="s">
        <v>1029</v>
      </c>
    </row>
    <row r="77" spans="4:4" x14ac:dyDescent="0.25">
      <c r="D77" t="s">
        <v>1020</v>
      </c>
    </row>
    <row r="78" spans="4:4" x14ac:dyDescent="0.25">
      <c r="D78" t="s">
        <v>1030</v>
      </c>
    </row>
    <row r="79" spans="4:4" x14ac:dyDescent="0.25">
      <c r="D79" t="s">
        <v>1017</v>
      </c>
    </row>
    <row r="80" spans="4:4" x14ac:dyDescent="0.25">
      <c r="D80" t="s">
        <v>1031</v>
      </c>
    </row>
    <row r="81" spans="4:4" x14ac:dyDescent="0.25">
      <c r="D81" t="s">
        <v>1032</v>
      </c>
    </row>
    <row r="82" spans="4:4" x14ac:dyDescent="0.25">
      <c r="D82" t="s">
        <v>1033</v>
      </c>
    </row>
    <row r="83" spans="4:4" x14ac:dyDescent="0.25">
      <c r="D83" t="s">
        <v>1018</v>
      </c>
    </row>
    <row r="84" spans="4:4" x14ac:dyDescent="0.25">
      <c r="D84" t="s">
        <v>975</v>
      </c>
    </row>
    <row r="85" spans="4:4" x14ac:dyDescent="0.25">
      <c r="D85" t="s">
        <v>975</v>
      </c>
    </row>
    <row r="86" spans="4:4" x14ac:dyDescent="0.25">
      <c r="D86" t="s">
        <v>546</v>
      </c>
    </row>
    <row r="87" spans="4:4" x14ac:dyDescent="0.25">
      <c r="D87" t="s">
        <v>506</v>
      </c>
    </row>
    <row r="88" spans="4:4" x14ac:dyDescent="0.25">
      <c r="D88" t="s">
        <v>1034</v>
      </c>
    </row>
    <row r="89" spans="4:4" x14ac:dyDescent="0.25">
      <c r="D89" t="s">
        <v>1035</v>
      </c>
    </row>
    <row r="90" spans="4:4" x14ac:dyDescent="0.25">
      <c r="D90" t="s">
        <v>1036</v>
      </c>
    </row>
    <row r="91" spans="4:4" x14ac:dyDescent="0.25">
      <c r="D91" t="s">
        <v>971</v>
      </c>
    </row>
    <row r="92" spans="4:4" x14ac:dyDescent="0.25">
      <c r="D92" t="s">
        <v>1037</v>
      </c>
    </row>
    <row r="93" spans="4:4" x14ac:dyDescent="0.25">
      <c r="D93" t="s">
        <v>1038</v>
      </c>
    </row>
    <row r="94" spans="4:4" x14ac:dyDescent="0.25">
      <c r="D94" t="s">
        <v>1039</v>
      </c>
    </row>
    <row r="95" spans="4:4" x14ac:dyDescent="0.25">
      <c r="D95" t="s">
        <v>1027</v>
      </c>
    </row>
    <row r="96" spans="4:4" x14ac:dyDescent="0.25">
      <c r="D96" t="s">
        <v>1040</v>
      </c>
    </row>
    <row r="97" spans="4:4" x14ac:dyDescent="0.25">
      <c r="D97" t="s">
        <v>971</v>
      </c>
    </row>
    <row r="98" spans="4:4" x14ac:dyDescent="0.25">
      <c r="D98" t="s">
        <v>516</v>
      </c>
    </row>
    <row r="99" spans="4:4" x14ac:dyDescent="0.25">
      <c r="D99" t="s">
        <v>1013</v>
      </c>
    </row>
    <row r="100" spans="4:4" x14ac:dyDescent="0.25">
      <c r="D100" t="s">
        <v>990</v>
      </c>
    </row>
    <row r="101" spans="4:4" x14ac:dyDescent="0.25">
      <c r="D101" t="s">
        <v>154</v>
      </c>
    </row>
    <row r="102" spans="4:4" x14ac:dyDescent="0.25">
      <c r="D102" t="s">
        <v>1041</v>
      </c>
    </row>
    <row r="103" spans="4:4" x14ac:dyDescent="0.25">
      <c r="D103" t="s">
        <v>1042</v>
      </c>
    </row>
    <row r="104" spans="4:4" x14ac:dyDescent="0.25">
      <c r="D104" t="s">
        <v>1043</v>
      </c>
    </row>
    <row r="105" spans="4:4" x14ac:dyDescent="0.25">
      <c r="D105" t="s">
        <v>1044</v>
      </c>
    </row>
    <row r="106" spans="4:4" x14ac:dyDescent="0.25">
      <c r="D106" t="s">
        <v>1045</v>
      </c>
    </row>
    <row r="107" spans="4:4" x14ac:dyDescent="0.25">
      <c r="D107" t="s">
        <v>1046</v>
      </c>
    </row>
    <row r="108" spans="4:4" x14ac:dyDescent="0.25">
      <c r="D108" t="s">
        <v>990</v>
      </c>
    </row>
    <row r="109" spans="4:4" x14ac:dyDescent="0.25">
      <c r="D109" t="s">
        <v>1047</v>
      </c>
    </row>
    <row r="110" spans="4:4" x14ac:dyDescent="0.25">
      <c r="D110" t="s">
        <v>1048</v>
      </c>
    </row>
    <row r="111" spans="4:4" x14ac:dyDescent="0.25">
      <c r="D111" t="s">
        <v>1049</v>
      </c>
    </row>
    <row r="112" spans="4:4" x14ac:dyDescent="0.25">
      <c r="D112" t="s">
        <v>1050</v>
      </c>
    </row>
    <row r="113" spans="4:4" x14ac:dyDescent="0.25">
      <c r="D113" t="s">
        <v>1051</v>
      </c>
    </row>
    <row r="114" spans="4:4" x14ac:dyDescent="0.25">
      <c r="D114" t="s">
        <v>1052</v>
      </c>
    </row>
    <row r="115" spans="4:4" x14ac:dyDescent="0.25">
      <c r="D115" t="s">
        <v>496</v>
      </c>
    </row>
    <row r="116" spans="4:4" x14ac:dyDescent="0.25">
      <c r="D116" t="s">
        <v>1053</v>
      </c>
    </row>
    <row r="117" spans="4:4" x14ac:dyDescent="0.25">
      <c r="D117" t="s">
        <v>1054</v>
      </c>
    </row>
    <row r="118" spans="4:4" x14ac:dyDescent="0.25">
      <c r="D118" t="s">
        <v>1054</v>
      </c>
    </row>
    <row r="119" spans="4:4" x14ac:dyDescent="0.25">
      <c r="D119" t="s">
        <v>255</v>
      </c>
    </row>
    <row r="120" spans="4:4" x14ac:dyDescent="0.25">
      <c r="D120" t="s">
        <v>1055</v>
      </c>
    </row>
    <row r="121" spans="4:4" x14ac:dyDescent="0.25">
      <c r="D121" t="s">
        <v>154</v>
      </c>
    </row>
    <row r="122" spans="4:4" x14ac:dyDescent="0.25">
      <c r="D122" t="s">
        <v>1054</v>
      </c>
    </row>
    <row r="123" spans="4:4" x14ac:dyDescent="0.25">
      <c r="D123" t="s">
        <v>1054</v>
      </c>
    </row>
    <row r="124" spans="4:4" x14ac:dyDescent="0.25">
      <c r="D124" t="s">
        <v>1056</v>
      </c>
    </row>
    <row r="125" spans="4:4" x14ac:dyDescent="0.25">
      <c r="D125" t="s">
        <v>1056</v>
      </c>
    </row>
    <row r="126" spans="4:4" x14ac:dyDescent="0.25">
      <c r="D126" t="s">
        <v>1056</v>
      </c>
    </row>
    <row r="127" spans="4:4" x14ac:dyDescent="0.25">
      <c r="D127" t="s">
        <v>1056</v>
      </c>
    </row>
    <row r="128" spans="4:4" x14ac:dyDescent="0.25">
      <c r="D128" t="s">
        <v>1056</v>
      </c>
    </row>
    <row r="129" spans="4:4" x14ac:dyDescent="0.25">
      <c r="D129" t="s">
        <v>1057</v>
      </c>
    </row>
    <row r="130" spans="4:4" x14ac:dyDescent="0.25">
      <c r="D130" t="s">
        <v>1058</v>
      </c>
    </row>
    <row r="131" spans="4:4" x14ac:dyDescent="0.25">
      <c r="D131" t="s">
        <v>1059</v>
      </c>
    </row>
    <row r="132" spans="4:4" x14ac:dyDescent="0.25">
      <c r="D132" t="s">
        <v>1059</v>
      </c>
    </row>
    <row r="133" spans="4:4" x14ac:dyDescent="0.25">
      <c r="D133" t="s">
        <v>532</v>
      </c>
    </row>
    <row r="134" spans="4:4" x14ac:dyDescent="0.25">
      <c r="D134" t="s">
        <v>1060</v>
      </c>
    </row>
    <row r="135" spans="4:4" x14ac:dyDescent="0.25">
      <c r="D135" t="s">
        <v>1061</v>
      </c>
    </row>
    <row r="136" spans="4:4" x14ac:dyDescent="0.25">
      <c r="D136" t="s">
        <v>1061</v>
      </c>
    </row>
    <row r="137" spans="4:4" x14ac:dyDescent="0.25">
      <c r="D137" t="s">
        <v>1027</v>
      </c>
    </row>
    <row r="138" spans="4:4" x14ac:dyDescent="0.25">
      <c r="D138" t="s">
        <v>1062</v>
      </c>
    </row>
    <row r="139" spans="4:4" x14ac:dyDescent="0.25">
      <c r="D139" t="s">
        <v>282</v>
      </c>
    </row>
    <row r="140" spans="4:4" x14ac:dyDescent="0.25">
      <c r="D140" t="s">
        <v>1063</v>
      </c>
    </row>
    <row r="141" spans="4:4" x14ac:dyDescent="0.25">
      <c r="D141" t="s">
        <v>996</v>
      </c>
    </row>
    <row r="142" spans="4:4" x14ac:dyDescent="0.25">
      <c r="D142" t="s">
        <v>1015</v>
      </c>
    </row>
    <row r="143" spans="4:4" x14ac:dyDescent="0.25">
      <c r="D143" t="s">
        <v>988</v>
      </c>
    </row>
    <row r="144" spans="4:4" x14ac:dyDescent="0.25">
      <c r="D144" t="s">
        <v>501</v>
      </c>
    </row>
    <row r="145" spans="4:4" x14ac:dyDescent="0.25">
      <c r="D145" t="s">
        <v>1012</v>
      </c>
    </row>
    <row r="146" spans="4:4" x14ac:dyDescent="0.25">
      <c r="D146" t="s">
        <v>1064</v>
      </c>
    </row>
    <row r="147" spans="4:4" x14ac:dyDescent="0.25">
      <c r="D147" t="s">
        <v>1005</v>
      </c>
    </row>
    <row r="148" spans="4:4" x14ac:dyDescent="0.25">
      <c r="D148" t="s">
        <v>1065</v>
      </c>
    </row>
    <row r="149" spans="4:4" x14ac:dyDescent="0.25">
      <c r="D149" t="s">
        <v>543</v>
      </c>
    </row>
    <row r="150" spans="4:4" x14ac:dyDescent="0.25">
      <c r="D150" t="s">
        <v>548</v>
      </c>
    </row>
    <row r="151" spans="4:4" x14ac:dyDescent="0.25">
      <c r="D151" t="s">
        <v>1066</v>
      </c>
    </row>
    <row r="152" spans="4:4" x14ac:dyDescent="0.25">
      <c r="D152" t="s">
        <v>530</v>
      </c>
    </row>
    <row r="153" spans="4:4" x14ac:dyDescent="0.25">
      <c r="D153" t="s">
        <v>1067</v>
      </c>
    </row>
    <row r="154" spans="4:4" x14ac:dyDescent="0.25">
      <c r="D154" t="s">
        <v>532</v>
      </c>
    </row>
    <row r="155" spans="4:4" x14ac:dyDescent="0.25">
      <c r="D155" t="s">
        <v>528</v>
      </c>
    </row>
    <row r="156" spans="4:4" x14ac:dyDescent="0.25">
      <c r="D156" t="s">
        <v>1068</v>
      </c>
    </row>
    <row r="157" spans="4:4" x14ac:dyDescent="0.25">
      <c r="D157" t="s">
        <v>1019</v>
      </c>
    </row>
  </sheetData>
  <sortState ref="C12:D19">
    <sortCondition ref="C12:C19"/>
  </sortState>
  <pageMargins left="0.511811024" right="0.511811024" top="0.78740157499999996" bottom="0.78740157499999996" header="0.31496062000000002" footer="0.3149606200000000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E3188-5BB0-4742-8BE9-B233880557F1}">
  <sheetPr>
    <pageSetUpPr fitToPage="1"/>
  </sheetPr>
  <dimension ref="A1:AK67"/>
  <sheetViews>
    <sheetView workbookViewId="0"/>
  </sheetViews>
  <sheetFormatPr defaultRowHeight="15" x14ac:dyDescent="0.25"/>
  <cols>
    <col min="2" max="2" width="22.28515625" bestFit="1" customWidth="1"/>
    <col min="3" max="3" width="7.28515625" bestFit="1" customWidth="1"/>
    <col min="4" max="4" width="16" bestFit="1" customWidth="1"/>
    <col min="5" max="5" width="35.42578125" bestFit="1" customWidth="1"/>
    <col min="6" max="6" width="15.42578125" bestFit="1" customWidth="1"/>
    <col min="7" max="7" width="11.85546875" bestFit="1" customWidth="1"/>
    <col min="8" max="8" width="16.85546875" customWidth="1"/>
    <col min="9" max="9" width="14.28515625" customWidth="1"/>
    <col min="10" max="10" width="13.28515625" style="205" bestFit="1" customWidth="1"/>
    <col min="11" max="14" width="9.140625" style="205"/>
    <col min="15" max="15" width="10.5703125" style="205" customWidth="1"/>
    <col min="16" max="37" width="9.140625" style="205"/>
  </cols>
  <sheetData>
    <row r="1" spans="1:15" x14ac:dyDescent="0.25">
      <c r="A1" s="381"/>
    </row>
    <row r="2" spans="1:15" ht="15.75" x14ac:dyDescent="0.25">
      <c r="B2" s="620" t="s">
        <v>1070</v>
      </c>
      <c r="C2" s="620"/>
      <c r="D2" s="620"/>
      <c r="E2" s="620"/>
      <c r="F2" s="620"/>
      <c r="G2" s="620"/>
      <c r="H2" s="620"/>
      <c r="I2" s="620"/>
      <c r="N2" s="205" t="s">
        <v>1071</v>
      </c>
      <c r="O2" s="205" t="s">
        <v>1072</v>
      </c>
    </row>
    <row r="3" spans="1:15" x14ac:dyDescent="0.25">
      <c r="N3" s="205">
        <v>1</v>
      </c>
      <c r="O3" s="206">
        <v>5.0000000000000001E-4</v>
      </c>
    </row>
    <row r="4" spans="1:15" ht="49.5" customHeight="1" x14ac:dyDescent="0.25">
      <c r="B4" s="197" t="s">
        <v>1073</v>
      </c>
      <c r="C4" s="197" t="s">
        <v>1071</v>
      </c>
      <c r="D4" s="197" t="s">
        <v>59</v>
      </c>
      <c r="E4" s="197" t="s">
        <v>1074</v>
      </c>
      <c r="F4" s="198" t="s">
        <v>596</v>
      </c>
      <c r="G4" s="198" t="s">
        <v>1072</v>
      </c>
      <c r="H4" s="198" t="s">
        <v>1075</v>
      </c>
      <c r="I4" s="198" t="s">
        <v>1076</v>
      </c>
      <c r="J4" s="207">
        <f ca="1">vlCONTRATO*0.1</f>
        <v>2939187.8170547546</v>
      </c>
      <c r="N4" s="205">
        <v>2</v>
      </c>
      <c r="O4" s="206">
        <v>6.9999999999999999E-4</v>
      </c>
    </row>
    <row r="5" spans="1:15" ht="33.950000000000003" customHeight="1" x14ac:dyDescent="0.25">
      <c r="B5" s="618" t="s">
        <v>1200</v>
      </c>
      <c r="C5" s="618"/>
      <c r="D5" s="618"/>
      <c r="E5" s="618"/>
      <c r="F5" s="618"/>
      <c r="G5" s="618"/>
      <c r="H5" s="618"/>
      <c r="I5" s="618"/>
      <c r="N5" s="205">
        <v>3</v>
      </c>
      <c r="O5" s="206">
        <v>8.9999999999999998E-4</v>
      </c>
    </row>
    <row r="6" spans="1:15" x14ac:dyDescent="0.25">
      <c r="B6" s="199" t="s">
        <v>1077</v>
      </c>
      <c r="C6" s="200">
        <v>5</v>
      </c>
      <c r="D6" s="200">
        <v>1</v>
      </c>
      <c r="E6" s="199" t="s">
        <v>1078</v>
      </c>
      <c r="F6" s="201">
        <f ca="1">IF(E6="CONTRATO",vlCONTRATO,IF(E6="VALOR MENSAL",vlMENSAL,1))</f>
        <v>29391878.170547545</v>
      </c>
      <c r="G6" s="202">
        <f>VLOOKUP(C6,$N$3:$O$7,2,FALSE)</f>
        <v>2E-3</v>
      </c>
      <c r="H6" s="202">
        <f>G6*D6</f>
        <v>2E-3</v>
      </c>
      <c r="I6" s="203">
        <f ca="1">H6*F6</f>
        <v>58783.75634109509</v>
      </c>
      <c r="N6" s="205">
        <v>4</v>
      </c>
      <c r="O6" s="206">
        <v>1E-3</v>
      </c>
    </row>
    <row r="7" spans="1:15" x14ac:dyDescent="0.25">
      <c r="B7" s="619" t="s">
        <v>1079</v>
      </c>
      <c r="C7" s="619"/>
      <c r="D7" s="619"/>
      <c r="E7" s="619"/>
      <c r="F7" s="619"/>
      <c r="G7" s="619"/>
      <c r="H7" s="619"/>
      <c r="I7" s="204">
        <f ca="1">IF(J7&gt;$J$4,$J$4,J7)</f>
        <v>58783.75634109509</v>
      </c>
      <c r="J7" s="207">
        <f ca="1">SUM(I6)</f>
        <v>58783.75634109509</v>
      </c>
      <c r="N7" s="205">
        <v>5</v>
      </c>
      <c r="O7" s="206">
        <v>2E-3</v>
      </c>
    </row>
    <row r="8" spans="1:15" ht="33.950000000000003" customHeight="1" x14ac:dyDescent="0.25">
      <c r="B8" s="618" t="s">
        <v>1201</v>
      </c>
      <c r="C8" s="618"/>
      <c r="D8" s="618"/>
      <c r="E8" s="618"/>
      <c r="F8" s="618"/>
      <c r="G8" s="618"/>
      <c r="H8" s="618"/>
      <c r="I8" s="618"/>
    </row>
    <row r="9" spans="1:15" x14ac:dyDescent="0.25">
      <c r="B9" s="199" t="s">
        <v>1080</v>
      </c>
      <c r="C9" s="200">
        <v>1</v>
      </c>
      <c r="D9" s="200">
        <f>23*15</f>
        <v>345</v>
      </c>
      <c r="E9" s="199" t="s">
        <v>81</v>
      </c>
      <c r="F9" s="201">
        <f ca="1">INDEX(INDIRECT(CONCATENATE("'",E9,"'!$1:$162")),MATCH("VALOR TOTAL DO POSTO",INDIRECT(CONCATENATE("'",E9,"'!$A:$A")),0),MATCH("00 - VALOR ESTIMADO",INDIRECT(CONCATENATE("'",E9,"'!$25:$25")),0)+1)</f>
        <v>5816.54</v>
      </c>
      <c r="G9" s="202">
        <f>VLOOKUP(C9,$N$3:$O$7,2,FALSE)</f>
        <v>5.0000000000000001E-4</v>
      </c>
      <c r="H9" s="202">
        <f>G9*D9</f>
        <v>0.17250000000000001</v>
      </c>
      <c r="I9" s="203">
        <f ca="1">H9*F9</f>
        <v>1003.35315</v>
      </c>
    </row>
    <row r="10" spans="1:15" x14ac:dyDescent="0.25">
      <c r="B10" s="619" t="s">
        <v>1079</v>
      </c>
      <c r="C10" s="619"/>
      <c r="D10" s="619"/>
      <c r="E10" s="619"/>
      <c r="F10" s="619"/>
      <c r="G10" s="619"/>
      <c r="H10" s="619"/>
      <c r="I10" s="204">
        <f ca="1">IF(J10&gt;$J$4,$J$4,J10)</f>
        <v>1003.35315</v>
      </c>
      <c r="J10" s="207">
        <f ca="1">SUM(I9:I9)</f>
        <v>1003.35315</v>
      </c>
    </row>
    <row r="11" spans="1:15" x14ac:dyDescent="0.25">
      <c r="B11" s="618" t="s">
        <v>1202</v>
      </c>
      <c r="C11" s="618"/>
      <c r="D11" s="618"/>
      <c r="E11" s="618"/>
      <c r="F11" s="618"/>
      <c r="G11" s="618"/>
      <c r="H11" s="618"/>
      <c r="I11" s="618"/>
      <c r="J11" s="207"/>
    </row>
    <row r="12" spans="1:15" x14ac:dyDescent="0.25">
      <c r="B12" s="199" t="s">
        <v>1082</v>
      </c>
      <c r="C12" s="200">
        <v>1</v>
      </c>
      <c r="D12" s="200">
        <v>251.63</v>
      </c>
      <c r="E12" s="199" t="s">
        <v>1203</v>
      </c>
      <c r="F12" s="201">
        <v>3950.5909999999999</v>
      </c>
      <c r="G12" s="202">
        <f>VLOOKUP(C12,$N$3:$O$7,2,FALSE)</f>
        <v>5.0000000000000001E-4</v>
      </c>
      <c r="H12" s="202">
        <f>G12*D12</f>
        <v>0.12581500000000001</v>
      </c>
      <c r="I12" s="203">
        <f>H12*F12</f>
        <v>497.04360666500003</v>
      </c>
      <c r="J12" s="207"/>
    </row>
    <row r="13" spans="1:15" x14ac:dyDescent="0.25">
      <c r="B13" s="619" t="s">
        <v>1079</v>
      </c>
      <c r="C13" s="619"/>
      <c r="D13" s="619"/>
      <c r="E13" s="619"/>
      <c r="F13" s="619"/>
      <c r="G13" s="619"/>
      <c r="H13" s="619"/>
      <c r="I13" s="204">
        <v>497.04360666500003</v>
      </c>
      <c r="J13" s="207"/>
    </row>
    <row r="14" spans="1:15" ht="33.950000000000003" customHeight="1" x14ac:dyDescent="0.25">
      <c r="B14" s="618" t="s">
        <v>1081</v>
      </c>
      <c r="C14" s="618"/>
      <c r="D14" s="618"/>
      <c r="E14" s="618"/>
      <c r="F14" s="618"/>
      <c r="G14" s="618"/>
      <c r="H14" s="618"/>
      <c r="I14" s="618"/>
    </row>
    <row r="15" spans="1:15" x14ac:dyDescent="0.25">
      <c r="B15" s="199" t="s">
        <v>1083</v>
      </c>
      <c r="C15" s="200">
        <v>2</v>
      </c>
      <c r="D15" s="200">
        <v>45</v>
      </c>
      <c r="E15" s="199" t="s">
        <v>1078</v>
      </c>
      <c r="F15" s="201">
        <f ca="1">IF(E15="CONTRATO",RESUMO!$E$189,IF(E15="VALOR MENSAL",RESUMO!$E$187,VLOOKUP(E15,RESUMO!$B$7:$D$177,4,FALSE)))</f>
        <v>29391878.170547545</v>
      </c>
      <c r="G15" s="202">
        <f>VLOOKUP(C15,$N$3:$O$7,2,FALSE)</f>
        <v>6.9999999999999999E-4</v>
      </c>
      <c r="H15" s="202">
        <f>G15*D15</f>
        <v>3.15E-2</v>
      </c>
      <c r="I15" s="203">
        <f ca="1">H15*F15</f>
        <v>925844.16237224767</v>
      </c>
    </row>
    <row r="16" spans="1:15" x14ac:dyDescent="0.25">
      <c r="B16" s="619" t="s">
        <v>1079</v>
      </c>
      <c r="C16" s="619"/>
      <c r="D16" s="619"/>
      <c r="E16" s="619"/>
      <c r="F16" s="619"/>
      <c r="G16" s="619"/>
      <c r="H16" s="619"/>
      <c r="I16" s="204">
        <f ca="1">IF(J16&gt;$J$4,$J$4,J16)</f>
        <v>925844.16237224767</v>
      </c>
      <c r="J16" s="207">
        <f ca="1">SUM(I15)</f>
        <v>925844.16237224767</v>
      </c>
    </row>
    <row r="17" spans="2:10" ht="26.25" customHeight="1" x14ac:dyDescent="0.25">
      <c r="B17" s="618" t="s">
        <v>1204</v>
      </c>
      <c r="C17" s="618"/>
      <c r="D17" s="618"/>
      <c r="E17" s="618"/>
      <c r="F17" s="618"/>
      <c r="G17" s="618"/>
      <c r="H17" s="618"/>
      <c r="I17" s="618"/>
    </row>
    <row r="18" spans="2:10" x14ac:dyDescent="0.25">
      <c r="B18" s="199" t="s">
        <v>1084</v>
      </c>
      <c r="C18" s="200">
        <v>4</v>
      </c>
      <c r="D18" s="200">
        <v>5</v>
      </c>
      <c r="E18" s="199" t="s">
        <v>117</v>
      </c>
      <c r="F18" s="201">
        <f ca="1">INDEX(INDIRECT(CONCATENATE("'",E18,"'!$1:$162")),MATCH("VALOR TOTAL DO POSTO",INDIRECT(CONCATENATE("'",E18,"'!$A:$A")),0),MATCH("00 - VALOR ESTIMADO",INDIRECT(CONCATENATE("'",E18,"'!$25:$25")),0)+1)</f>
        <v>7092.57</v>
      </c>
      <c r="G18" s="202">
        <f>VLOOKUP(C18,$N$3:$O$7,2,FALSE)</f>
        <v>1E-3</v>
      </c>
      <c r="H18" s="202">
        <f>G18*D18</f>
        <v>5.0000000000000001E-3</v>
      </c>
      <c r="I18" s="203">
        <f ca="1">H18*F18</f>
        <v>35.462849999999996</v>
      </c>
    </row>
    <row r="19" spans="2:10" x14ac:dyDescent="0.25">
      <c r="B19" s="619" t="s">
        <v>1079</v>
      </c>
      <c r="C19" s="619"/>
      <c r="D19" s="619"/>
      <c r="E19" s="619"/>
      <c r="F19" s="619"/>
      <c r="G19" s="619"/>
      <c r="H19" s="619"/>
      <c r="I19" s="204">
        <f ca="1">IF(J19&gt;$J$4,$J$4,J19)</f>
        <v>35.462849999999996</v>
      </c>
      <c r="J19" s="207">
        <f ca="1">SUM(I18)</f>
        <v>35.462849999999996</v>
      </c>
    </row>
    <row r="20" spans="2:10" ht="24.75" customHeight="1" x14ac:dyDescent="0.25">
      <c r="B20" s="618" t="s">
        <v>1206</v>
      </c>
      <c r="C20" s="618"/>
      <c r="D20" s="618"/>
      <c r="E20" s="618"/>
      <c r="F20" s="618"/>
      <c r="G20" s="618"/>
      <c r="H20" s="618"/>
      <c r="I20" s="618"/>
      <c r="J20" s="207"/>
    </row>
    <row r="21" spans="2:10" x14ac:dyDescent="0.25">
      <c r="B21" s="199" t="s">
        <v>1085</v>
      </c>
      <c r="C21" s="200">
        <v>4</v>
      </c>
      <c r="D21" s="200">
        <v>5</v>
      </c>
      <c r="E21" s="199" t="s">
        <v>1203</v>
      </c>
      <c r="F21" s="201">
        <v>13965.240000000002</v>
      </c>
      <c r="G21" s="202">
        <f>VLOOKUP(C21,$N$3:$O$7,2,FALSE)</f>
        <v>1E-3</v>
      </c>
      <c r="H21" s="202">
        <f>G21*D21</f>
        <v>5.0000000000000001E-3</v>
      </c>
      <c r="I21" s="203">
        <f>H21*F21</f>
        <v>69.826200000000014</v>
      </c>
      <c r="J21" s="207"/>
    </row>
    <row r="22" spans="2:10" x14ac:dyDescent="0.25">
      <c r="B22" s="619" t="s">
        <v>1079</v>
      </c>
      <c r="C22" s="619"/>
      <c r="D22" s="619"/>
      <c r="E22" s="619"/>
      <c r="F22" s="619"/>
      <c r="G22" s="619"/>
      <c r="H22" s="619"/>
      <c r="I22" s="204">
        <v>69.826200000000014</v>
      </c>
      <c r="J22" s="207"/>
    </row>
    <row r="23" spans="2:10" ht="33.950000000000003" customHeight="1" x14ac:dyDescent="0.25">
      <c r="B23" s="618" t="s">
        <v>1205</v>
      </c>
      <c r="C23" s="618"/>
      <c r="D23" s="618"/>
      <c r="E23" s="618"/>
      <c r="F23" s="618"/>
      <c r="G23" s="618"/>
      <c r="H23" s="618"/>
      <c r="I23" s="618"/>
    </row>
    <row r="24" spans="2:10" x14ac:dyDescent="0.25">
      <c r="B24" s="199" t="s">
        <v>1086</v>
      </c>
      <c r="C24" s="200">
        <v>3</v>
      </c>
      <c r="D24" s="200">
        <f>2*63</f>
        <v>126</v>
      </c>
      <c r="E24" s="199" t="s">
        <v>81</v>
      </c>
      <c r="F24" s="201">
        <f ca="1">INDEX(INDIRECT(CONCATENATE("'",E24,"'!$1:$162")),MATCH("VALOR TOTAL DO POSTO",INDIRECT(CONCATENATE("'",E24,"'!$A:$A")),0),MATCH("00 - VALOR ESTIMADO",INDIRECT(CONCATENATE("'",E24,"'!$25:$25")),0)+1)</f>
        <v>5816.54</v>
      </c>
      <c r="G24" s="202">
        <f>VLOOKUP(C24,$N$3:$O$7,2,FALSE)</f>
        <v>8.9999999999999998E-4</v>
      </c>
      <c r="H24" s="202">
        <f>G24*D24</f>
        <v>0.1134</v>
      </c>
      <c r="I24" s="203">
        <f ca="1">H24*F24</f>
        <v>659.59563600000001</v>
      </c>
    </row>
    <row r="25" spans="2:10" x14ac:dyDescent="0.25">
      <c r="B25" s="619" t="s">
        <v>1079</v>
      </c>
      <c r="C25" s="619"/>
      <c r="D25" s="619"/>
      <c r="E25" s="619"/>
      <c r="F25" s="619"/>
      <c r="G25" s="619"/>
      <c r="H25" s="619"/>
      <c r="I25" s="204">
        <f ca="1">IF(J25&gt;$J$4,$J$4,J25)</f>
        <v>659.59563600000001</v>
      </c>
      <c r="J25" s="207">
        <f ca="1">SUM(I24)</f>
        <v>659.59563600000001</v>
      </c>
    </row>
    <row r="26" spans="2:10" ht="33.950000000000003" customHeight="1" x14ac:dyDescent="0.25">
      <c r="B26" s="618" t="s">
        <v>1207</v>
      </c>
      <c r="C26" s="618"/>
      <c r="D26" s="618"/>
      <c r="E26" s="618"/>
      <c r="F26" s="618"/>
      <c r="G26" s="618"/>
      <c r="H26" s="618"/>
      <c r="I26" s="618"/>
    </row>
    <row r="27" spans="2:10" x14ac:dyDescent="0.25">
      <c r="B27" s="199" t="s">
        <v>1088</v>
      </c>
      <c r="C27" s="200">
        <v>3</v>
      </c>
      <c r="D27" s="200">
        <v>25</v>
      </c>
      <c r="E27" s="199" t="s">
        <v>959</v>
      </c>
      <c r="F27" s="201">
        <f ca="1">INDEX(INDIRECT(CONCATENATE("'",E27,"'!$1:$162")),MATCH("VALOR TOTAL DO POSTO",INDIRECT(CONCATENATE("'",E27,"'!$A:$A")),0),MATCH("00 - VALOR ESTIMADO",INDIRECT(CONCATENATE("'",E27,"'!$25:$25")),0)+1)</f>
        <v>5073.5200000000004</v>
      </c>
      <c r="G27" s="202">
        <f>VLOOKUP(C27,$N$3:$O$7,2,FALSE)</f>
        <v>8.9999999999999998E-4</v>
      </c>
      <c r="H27" s="202">
        <f>G27*D27</f>
        <v>2.2499999999999999E-2</v>
      </c>
      <c r="I27" s="203">
        <f ca="1">H27*F27</f>
        <v>114.1542</v>
      </c>
    </row>
    <row r="28" spans="2:10" x14ac:dyDescent="0.25">
      <c r="B28" s="619" t="s">
        <v>1079</v>
      </c>
      <c r="C28" s="619"/>
      <c r="D28" s="619"/>
      <c r="E28" s="619"/>
      <c r="F28" s="619"/>
      <c r="G28" s="619"/>
      <c r="H28" s="619"/>
      <c r="I28" s="204">
        <f ca="1">IF(J28&gt;$J$4,$J$4,J28)</f>
        <v>114.1542</v>
      </c>
      <c r="J28" s="207">
        <f ca="1">SUM(I27)</f>
        <v>114.1542</v>
      </c>
    </row>
    <row r="29" spans="2:10" ht="33" customHeight="1" x14ac:dyDescent="0.25">
      <c r="B29" s="618" t="s">
        <v>1208</v>
      </c>
      <c r="C29" s="618"/>
      <c r="D29" s="618"/>
      <c r="E29" s="618"/>
      <c r="F29" s="618"/>
      <c r="G29" s="618"/>
      <c r="H29" s="618"/>
      <c r="I29" s="618"/>
      <c r="J29" s="207"/>
    </row>
    <row r="30" spans="2:10" x14ac:dyDescent="0.25">
      <c r="B30" s="199" t="s">
        <v>1089</v>
      </c>
      <c r="C30" s="200">
        <v>3</v>
      </c>
      <c r="D30" s="200">
        <v>25</v>
      </c>
      <c r="E30" s="199" t="s">
        <v>1203</v>
      </c>
      <c r="F30" s="201">
        <v>518.12</v>
      </c>
      <c r="G30" s="202">
        <f>VLOOKUP(C30,$N$3:$O$7,2,FALSE)</f>
        <v>8.9999999999999998E-4</v>
      </c>
      <c r="H30" s="202">
        <f>G30*D30</f>
        <v>2.2499999999999999E-2</v>
      </c>
      <c r="I30" s="203">
        <f>H30*F30</f>
        <v>11.6577</v>
      </c>
      <c r="J30" s="207"/>
    </row>
    <row r="31" spans="2:10" x14ac:dyDescent="0.25">
      <c r="B31" s="619" t="s">
        <v>1079</v>
      </c>
      <c r="C31" s="619"/>
      <c r="D31" s="619"/>
      <c r="E31" s="619"/>
      <c r="F31" s="619"/>
      <c r="G31" s="619"/>
      <c r="H31" s="619"/>
      <c r="I31" s="204">
        <v>11.6577</v>
      </c>
      <c r="J31" s="207"/>
    </row>
    <row r="32" spans="2:10" ht="33.950000000000003" customHeight="1" x14ac:dyDescent="0.25">
      <c r="B32" s="618" t="s">
        <v>1209</v>
      </c>
      <c r="C32" s="618"/>
      <c r="D32" s="618"/>
      <c r="E32" s="618"/>
      <c r="F32" s="618"/>
      <c r="G32" s="618"/>
      <c r="H32" s="618"/>
      <c r="I32" s="618"/>
    </row>
    <row r="33" spans="2:10" x14ac:dyDescent="0.25">
      <c r="B33" s="199" t="s">
        <v>1090</v>
      </c>
      <c r="C33" s="200">
        <v>4</v>
      </c>
      <c r="D33" s="200">
        <v>44</v>
      </c>
      <c r="E33" s="199" t="s">
        <v>117</v>
      </c>
      <c r="F33" s="201">
        <f ca="1">INDEX(INDIRECT(CONCATENATE("'",E33,"'!$1:$162")),MATCH("VALOR TOTAL DO POSTO",INDIRECT(CONCATENATE("'",E33,"'!$A:$A")),0),MATCH("00 - VALOR ESTIMADO",INDIRECT(CONCATENATE("'",E33,"'!$25:$25")),0)+1)</f>
        <v>7092.57</v>
      </c>
      <c r="G33" s="202">
        <f>VLOOKUP(C33,$N$3:$O$7,2,FALSE)</f>
        <v>1E-3</v>
      </c>
      <c r="H33" s="202">
        <f>G33*D33</f>
        <v>4.3999999999999997E-2</v>
      </c>
      <c r="I33" s="203">
        <f ca="1">H33*F33</f>
        <v>312.07307999999995</v>
      </c>
    </row>
    <row r="34" spans="2:10" x14ac:dyDescent="0.25">
      <c r="B34" s="199" t="s">
        <v>1090</v>
      </c>
      <c r="C34" s="200">
        <v>4</v>
      </c>
      <c r="D34" s="200">
        <v>44</v>
      </c>
      <c r="E34" s="199" t="s">
        <v>117</v>
      </c>
      <c r="F34" s="201">
        <f ca="1">INDEX(INDIRECT(CONCATENATE("'",E34,"'!$1:$162")),MATCH("VALOR TOTAL DO POSTO",INDIRECT(CONCATENATE("'",E34,"'!$A:$A")),0),MATCH("00 - VALOR ESTIMADO",INDIRECT(CONCATENATE("'",E34,"'!$25:$25")),0)+1)</f>
        <v>7092.57</v>
      </c>
      <c r="G34" s="202">
        <f>VLOOKUP(C34,$N$3:$O$7,2,FALSE)</f>
        <v>1E-3</v>
      </c>
      <c r="H34" s="202">
        <f>G34*D34</f>
        <v>4.3999999999999997E-2</v>
      </c>
      <c r="I34" s="203">
        <f ca="1">H34*F34</f>
        <v>312.07307999999995</v>
      </c>
    </row>
    <row r="35" spans="2:10" x14ac:dyDescent="0.25">
      <c r="B35" s="619" t="s">
        <v>1079</v>
      </c>
      <c r="C35" s="619"/>
      <c r="D35" s="619"/>
      <c r="E35" s="619"/>
      <c r="F35" s="619"/>
      <c r="G35" s="619"/>
      <c r="H35" s="619"/>
      <c r="I35" s="204">
        <f ca="1">IF(J35&gt;$J$4,$J$4,J35)</f>
        <v>624.1461599999999</v>
      </c>
      <c r="J35" s="207">
        <f ca="1">SUM(I33:I34)</f>
        <v>624.1461599999999</v>
      </c>
    </row>
    <row r="36" spans="2:10" ht="33.950000000000003" customHeight="1" x14ac:dyDescent="0.25">
      <c r="B36" s="618" t="s">
        <v>1087</v>
      </c>
      <c r="C36" s="618"/>
      <c r="D36" s="618"/>
      <c r="E36" s="618"/>
      <c r="F36" s="618"/>
      <c r="G36" s="618"/>
      <c r="H36" s="618"/>
      <c r="I36" s="618"/>
    </row>
    <row r="37" spans="2:10" x14ac:dyDescent="0.25">
      <c r="B37" s="199" t="s">
        <v>1091</v>
      </c>
      <c r="C37" s="200">
        <v>5</v>
      </c>
      <c r="D37" s="200">
        <v>2</v>
      </c>
      <c r="E37" s="199" t="s">
        <v>6</v>
      </c>
      <c r="F37" s="201">
        <f ca="1">IF(E37="CONTRATO",RESUMO!$E$189,IF(E37="VALOR MENSAL",RESUMO!$E$187,VLOOKUP(E37,RESUMO!$B$7:$D$177,4,FALSE)))</f>
        <v>2449323.1808789619</v>
      </c>
      <c r="G37" s="202">
        <f>VLOOKUP(C37,$N$3:$O$7,2,FALSE)</f>
        <v>2E-3</v>
      </c>
      <c r="H37" s="202">
        <f>G37*D37</f>
        <v>4.0000000000000001E-3</v>
      </c>
      <c r="I37" s="203">
        <f ca="1">H37*F37</f>
        <v>9797.2927235158477</v>
      </c>
    </row>
    <row r="38" spans="2:10" x14ac:dyDescent="0.25">
      <c r="B38" s="619" t="s">
        <v>1079</v>
      </c>
      <c r="C38" s="619"/>
      <c r="D38" s="619"/>
      <c r="E38" s="619"/>
      <c r="F38" s="619"/>
      <c r="G38" s="619"/>
      <c r="H38" s="619"/>
      <c r="I38" s="204">
        <f ca="1">IF(J38&gt;$J$4,$J$4,J38)</f>
        <v>9797.2927235158477</v>
      </c>
      <c r="J38" s="207">
        <f ca="1">SUM(I37:I37)</f>
        <v>9797.2927235158477</v>
      </c>
    </row>
    <row r="39" spans="2:10" ht="51.75" customHeight="1" x14ac:dyDescent="0.25">
      <c r="B39" s="618" t="s">
        <v>1210</v>
      </c>
      <c r="C39" s="618"/>
      <c r="D39" s="618"/>
      <c r="E39" s="618"/>
      <c r="F39" s="618"/>
      <c r="G39" s="618"/>
      <c r="H39" s="618"/>
      <c r="I39" s="618"/>
    </row>
    <row r="40" spans="2:10" x14ac:dyDescent="0.25">
      <c r="B40" s="199" t="s">
        <v>1092</v>
      </c>
      <c r="C40" s="200">
        <v>1</v>
      </c>
      <c r="D40" s="200">
        <f>29*12</f>
        <v>348</v>
      </c>
      <c r="E40" s="199" t="s">
        <v>6</v>
      </c>
      <c r="F40" s="201">
        <f ca="1">IF(E40="CONTRATO",RESUMO!$E$189,IF(E40="VALOR MENSAL",RESUMO!$E$187,VLOOKUP(E40,RESUMO!$B$7:$D$177,4,FALSE)))</f>
        <v>2449323.1808789619</v>
      </c>
      <c r="G40" s="202">
        <f>VLOOKUP(C40,$N$3:$O$7,2,FALSE)</f>
        <v>5.0000000000000001E-4</v>
      </c>
      <c r="H40" s="202">
        <f>G40*D40</f>
        <v>0.17400000000000002</v>
      </c>
      <c r="I40" s="203">
        <f ca="1">H40*F40</f>
        <v>426182.23347293941</v>
      </c>
    </row>
    <row r="41" spans="2:10" x14ac:dyDescent="0.25">
      <c r="B41" s="199" t="s">
        <v>1093</v>
      </c>
      <c r="C41" s="200">
        <v>2</v>
      </c>
      <c r="D41" s="200">
        <v>1</v>
      </c>
      <c r="E41" s="199" t="s">
        <v>6</v>
      </c>
      <c r="F41" s="201">
        <f ca="1">IF(E41="CONTRATO",RESUMO!$E$189,IF(E41="VALOR MENSAL",RESUMO!$E$187,VLOOKUP(E41,RESUMO!$B$7:$D$177,4,FALSE)))</f>
        <v>2449323.1808789619</v>
      </c>
      <c r="G41" s="202">
        <f>VLOOKUP(C41,$N$3:$O$7,2,FALSE)</f>
        <v>6.9999999999999999E-4</v>
      </c>
      <c r="H41" s="202">
        <f>G41*D41</f>
        <v>6.9999999999999999E-4</v>
      </c>
      <c r="I41" s="203">
        <f ca="1">H41*F41</f>
        <v>1714.5262266152733</v>
      </c>
    </row>
    <row r="42" spans="2:10" x14ac:dyDescent="0.25">
      <c r="B42" s="619" t="s">
        <v>1079</v>
      </c>
      <c r="C42" s="619"/>
      <c r="D42" s="619"/>
      <c r="E42" s="619"/>
      <c r="F42" s="619"/>
      <c r="G42" s="619"/>
      <c r="H42" s="619"/>
      <c r="I42" s="204">
        <f ca="1">IF(J42&gt;$J$4,$J$4,J42)</f>
        <v>427896.75969955471</v>
      </c>
      <c r="J42" s="207">
        <f ca="1">SUM(I40:I41)</f>
        <v>427896.75969955471</v>
      </c>
    </row>
    <row r="43" spans="2:10" ht="33.950000000000003" customHeight="1" x14ac:dyDescent="0.25">
      <c r="B43" s="618" t="s">
        <v>1211</v>
      </c>
      <c r="C43" s="618"/>
      <c r="D43" s="618"/>
      <c r="E43" s="618"/>
      <c r="F43" s="618"/>
      <c r="G43" s="618"/>
      <c r="H43" s="618"/>
      <c r="I43" s="618"/>
    </row>
    <row r="44" spans="2:10" x14ac:dyDescent="0.25">
      <c r="B44" s="199" t="s">
        <v>1094</v>
      </c>
      <c r="C44" s="200">
        <v>3</v>
      </c>
      <c r="D44" s="200">
        <v>45</v>
      </c>
      <c r="E44" s="199" t="s">
        <v>956</v>
      </c>
      <c r="F44" s="201">
        <f ca="1">INDEX(INDIRECT(CONCATENATE("'",E44,"'!$1:$162")),MATCH("VALOR TOTAL DO POSTO",INDIRECT(CONCATENATE("'",E44,"'!$A:$A")),0),MATCH("00 - VALOR ESTIMADO",INDIRECT(CONCATENATE("'",E44,"'!$25:$25")),0)+1)</f>
        <v>6143.08</v>
      </c>
      <c r="G44" s="202">
        <f>VLOOKUP(C44,$N$3:$O$7,2,FALSE)</f>
        <v>8.9999999999999998E-4</v>
      </c>
      <c r="H44" s="202">
        <f>G44*D44</f>
        <v>4.0500000000000001E-2</v>
      </c>
      <c r="I44" s="203">
        <f ca="1">H44*F44</f>
        <v>248.79474000000002</v>
      </c>
    </row>
    <row r="45" spans="2:10" x14ac:dyDescent="0.25">
      <c r="B45" s="199" t="s">
        <v>1093</v>
      </c>
      <c r="C45" s="200">
        <v>2</v>
      </c>
      <c r="D45" s="200">
        <v>1</v>
      </c>
      <c r="E45" s="199" t="s">
        <v>6</v>
      </c>
      <c r="F45" s="201">
        <f ca="1">IF(E45="CONTRATO",RESUMO!$E$189,IF(E45="VALOR MENSAL",RESUMO!$E$187,VLOOKUP(E45,RESUMO!$B$7:$D$177,4,FALSE)))</f>
        <v>2449323.1808789619</v>
      </c>
      <c r="G45" s="202">
        <f>VLOOKUP(C45,$N$3:$O$7,2,FALSE)</f>
        <v>6.9999999999999999E-4</v>
      </c>
      <c r="H45" s="202">
        <f>G45*D45</f>
        <v>6.9999999999999999E-4</v>
      </c>
      <c r="I45" s="203">
        <f ca="1">H45*F45</f>
        <v>1714.5262266152733</v>
      </c>
    </row>
    <row r="46" spans="2:10" x14ac:dyDescent="0.25">
      <c r="B46" s="619" t="s">
        <v>1079</v>
      </c>
      <c r="C46" s="619"/>
      <c r="D46" s="619"/>
      <c r="E46" s="619"/>
      <c r="F46" s="619"/>
      <c r="G46" s="619"/>
      <c r="H46" s="619"/>
      <c r="I46" s="204">
        <f ca="1">IF(J46&gt;$J$4,$J$4,J46)</f>
        <v>1963.3209666152734</v>
      </c>
      <c r="J46" s="207">
        <f ca="1">SUM(I44:I45)</f>
        <v>1963.3209666152734</v>
      </c>
    </row>
    <row r="47" spans="2:10" ht="33.950000000000003" customHeight="1" x14ac:dyDescent="0.25">
      <c r="B47" s="618" t="s">
        <v>1212</v>
      </c>
      <c r="C47" s="618"/>
      <c r="D47" s="618"/>
      <c r="E47" s="618"/>
      <c r="F47" s="618"/>
      <c r="G47" s="618"/>
      <c r="H47" s="618"/>
      <c r="I47" s="618"/>
    </row>
    <row r="48" spans="2:10" x14ac:dyDescent="0.25">
      <c r="B48" s="199" t="s">
        <v>1096</v>
      </c>
      <c r="C48" s="200">
        <v>5</v>
      </c>
      <c r="D48" s="200">
        <v>32</v>
      </c>
      <c r="E48" s="199" t="s">
        <v>6</v>
      </c>
      <c r="F48" s="201">
        <f ca="1">IF(E48="CONTRATO",RESUMO!$E$189,IF(E48="VALOR MENSAL",RESUMO!$E$187,VLOOKUP(E48,RESUMO!$B$7:$D$177,4,FALSE)))</f>
        <v>2449323.1808789619</v>
      </c>
      <c r="G48" s="202">
        <f>VLOOKUP(C48,$N$3:$O$7,2,FALSE)</f>
        <v>2E-3</v>
      </c>
      <c r="H48" s="202">
        <f>G48*D48</f>
        <v>6.4000000000000001E-2</v>
      </c>
      <c r="I48" s="203">
        <f ca="1">H48*F48</f>
        <v>156756.68357625356</v>
      </c>
    </row>
    <row r="49" spans="2:10" x14ac:dyDescent="0.25">
      <c r="B49" s="619" t="s">
        <v>1079</v>
      </c>
      <c r="C49" s="619"/>
      <c r="D49" s="619"/>
      <c r="E49" s="619"/>
      <c r="F49" s="619"/>
      <c r="G49" s="619"/>
      <c r="H49" s="619"/>
      <c r="I49" s="204">
        <f ca="1">IF(J49&gt;$J$4,$J$4,J49)</f>
        <v>156756.68357625356</v>
      </c>
      <c r="J49" s="207">
        <f ca="1">SUM(I48:I48)</f>
        <v>156756.68357625356</v>
      </c>
    </row>
    <row r="50" spans="2:10" ht="33.950000000000003" customHeight="1" x14ac:dyDescent="0.25">
      <c r="B50" s="618" t="s">
        <v>1213</v>
      </c>
      <c r="C50" s="618"/>
      <c r="D50" s="618"/>
      <c r="E50" s="618"/>
      <c r="F50" s="618"/>
      <c r="G50" s="618"/>
      <c r="H50" s="618"/>
      <c r="I50" s="618"/>
    </row>
    <row r="51" spans="2:10" x14ac:dyDescent="0.25">
      <c r="B51" s="199" t="s">
        <v>1097</v>
      </c>
      <c r="C51" s="200">
        <v>5</v>
      </c>
      <c r="D51" s="200">
        <v>14</v>
      </c>
      <c r="E51" s="199" t="s">
        <v>6</v>
      </c>
      <c r="F51" s="201">
        <f ca="1">IF(E51="CONTRATO",RESUMO!$E$189,IF(E51="VALOR MENSAL",RESUMO!$E$187,VLOOKUP(E51,RESUMO!$B$7:$D$177,4,FALSE)))</f>
        <v>2449323.1808789619</v>
      </c>
      <c r="G51" s="202">
        <f>VLOOKUP(C51,$N$3:$O$7,2,FALSE)</f>
        <v>2E-3</v>
      </c>
      <c r="H51" s="202">
        <f>G51*D51</f>
        <v>2.8000000000000001E-2</v>
      </c>
      <c r="I51" s="203">
        <f ca="1">H51*F51</f>
        <v>68581.049064610939</v>
      </c>
    </row>
    <row r="52" spans="2:10" x14ac:dyDescent="0.25">
      <c r="B52" s="619" t="s">
        <v>1079</v>
      </c>
      <c r="C52" s="619"/>
      <c r="D52" s="619"/>
      <c r="E52" s="619"/>
      <c r="F52" s="619"/>
      <c r="G52" s="619"/>
      <c r="H52" s="619"/>
      <c r="I52" s="204">
        <f ca="1">IF(J52&gt;$J$4,$J$4,J52)</f>
        <v>68581.049064610939</v>
      </c>
      <c r="J52" s="207">
        <f ca="1">SUM(I51:I51)</f>
        <v>68581.049064610939</v>
      </c>
    </row>
    <row r="53" spans="2:10" ht="33.950000000000003" customHeight="1" x14ac:dyDescent="0.25">
      <c r="B53" s="618" t="s">
        <v>1214</v>
      </c>
      <c r="C53" s="618"/>
      <c r="D53" s="618"/>
      <c r="E53" s="618"/>
      <c r="F53" s="618"/>
      <c r="G53" s="618"/>
      <c r="H53" s="618"/>
      <c r="I53" s="618"/>
    </row>
    <row r="54" spans="2:10" x14ac:dyDescent="0.25">
      <c r="B54" s="199" t="s">
        <v>1099</v>
      </c>
      <c r="C54" s="200">
        <v>3</v>
      </c>
      <c r="D54" s="200">
        <v>35</v>
      </c>
      <c r="E54" s="199" t="s">
        <v>6</v>
      </c>
      <c r="F54" s="201">
        <f ca="1">IF(E54="CONTRATO",RESUMO!$E$189,IF(E54="VALOR MENSAL",RESUMO!$E$187,VLOOKUP(E54,RESUMO!$B$7:$D$177,4,FALSE)))</f>
        <v>2449323.1808789619</v>
      </c>
      <c r="G54" s="202">
        <f>VLOOKUP(C54,$N$3:$O$7,2,FALSE)</f>
        <v>8.9999999999999998E-4</v>
      </c>
      <c r="H54" s="202">
        <f>G54*D54</f>
        <v>3.15E-2</v>
      </c>
      <c r="I54" s="203">
        <f ca="1">H54*F54</f>
        <v>77153.680197687296</v>
      </c>
    </row>
    <row r="55" spans="2:10" x14ac:dyDescent="0.25">
      <c r="B55" s="619" t="s">
        <v>1079</v>
      </c>
      <c r="C55" s="619"/>
      <c r="D55" s="619"/>
      <c r="E55" s="619"/>
      <c r="F55" s="619"/>
      <c r="G55" s="619"/>
      <c r="H55" s="619"/>
      <c r="I55" s="204">
        <f ca="1">IF(J55&gt;$J$4,$J$4,J55)</f>
        <v>77153.680197687296</v>
      </c>
      <c r="J55" s="207">
        <f ca="1">SUM(I54:I54)</f>
        <v>77153.680197687296</v>
      </c>
    </row>
    <row r="56" spans="2:10" ht="33.950000000000003" customHeight="1" x14ac:dyDescent="0.25">
      <c r="B56" s="618" t="s">
        <v>1095</v>
      </c>
      <c r="C56" s="618"/>
      <c r="D56" s="618"/>
      <c r="E56" s="618"/>
      <c r="F56" s="618"/>
      <c r="G56" s="618"/>
      <c r="H56" s="618"/>
      <c r="I56" s="618"/>
    </row>
    <row r="57" spans="2:10" x14ac:dyDescent="0.25">
      <c r="B57" s="199" t="s">
        <v>1215</v>
      </c>
      <c r="C57" s="200">
        <v>1</v>
      </c>
      <c r="D57" s="200">
        <v>1</v>
      </c>
      <c r="E57" s="199" t="s">
        <v>6</v>
      </c>
      <c r="F57" s="201">
        <f ca="1">IF(E57="CONTRATO",RESUMO!$E$189,IF(E57="VALOR MENSAL",RESUMO!$E$187,VLOOKUP(E57,RESUMO!$B$7:$D$177,4,FALSE)))</f>
        <v>2449323.1808789619</v>
      </c>
      <c r="G57" s="202">
        <f>VLOOKUP(C57,$N$3:$O$7,2,FALSE)</f>
        <v>5.0000000000000001E-4</v>
      </c>
      <c r="H57" s="202">
        <f>G57*D57</f>
        <v>5.0000000000000001E-4</v>
      </c>
      <c r="I57" s="203">
        <f ca="1">H57*F57</f>
        <v>1224.661590439481</v>
      </c>
    </row>
    <row r="58" spans="2:10" x14ac:dyDescent="0.25">
      <c r="B58" s="619" t="s">
        <v>1079</v>
      </c>
      <c r="C58" s="619"/>
      <c r="D58" s="619"/>
      <c r="E58" s="619"/>
      <c r="F58" s="619"/>
      <c r="G58" s="619"/>
      <c r="H58" s="619"/>
      <c r="I58" s="204">
        <f ca="1">IF(J58&gt;$J$4,$J$4,J58)</f>
        <v>1224.661590439481</v>
      </c>
      <c r="J58" s="207">
        <f ca="1">SUM(I57:I57)</f>
        <v>1224.661590439481</v>
      </c>
    </row>
    <row r="59" spans="2:10" ht="33.950000000000003" customHeight="1" x14ac:dyDescent="0.25">
      <c r="B59" s="618" t="s">
        <v>1216</v>
      </c>
      <c r="C59" s="618"/>
      <c r="D59" s="618"/>
      <c r="E59" s="618"/>
      <c r="F59" s="618"/>
      <c r="G59" s="618"/>
      <c r="H59" s="618"/>
      <c r="I59" s="618"/>
    </row>
    <row r="60" spans="2:10" x14ac:dyDescent="0.25">
      <c r="B60" s="199" t="s">
        <v>1217</v>
      </c>
      <c r="C60" s="200">
        <v>1</v>
      </c>
      <c r="D60" s="200">
        <f>14*33</f>
        <v>462</v>
      </c>
      <c r="E60" s="199" t="s">
        <v>956</v>
      </c>
      <c r="F60" s="201">
        <f ca="1">INDEX(INDIRECT(CONCATENATE("'",E60,"'!$1:$162")),MATCH("VALOR TOTAL DO POSTO",INDIRECT(CONCATENATE("'",E60,"'!$A:$A")),0),MATCH("00 - VALOR ESTIMADO",INDIRECT(CONCATENATE("'",E60,"'!$25:$25")),0)+1)</f>
        <v>6143.08</v>
      </c>
      <c r="G60" s="202">
        <f>VLOOKUP(C60,$N$3:$O$7,2,FALSE)</f>
        <v>5.0000000000000001E-4</v>
      </c>
      <c r="H60" s="202">
        <f>G60*D60</f>
        <v>0.23100000000000001</v>
      </c>
      <c r="I60" s="203">
        <f ca="1">H60*F60</f>
        <v>1419.0514800000001</v>
      </c>
    </row>
    <row r="61" spans="2:10" x14ac:dyDescent="0.25">
      <c r="B61" s="619" t="s">
        <v>1079</v>
      </c>
      <c r="C61" s="619"/>
      <c r="D61" s="619"/>
      <c r="E61" s="619"/>
      <c r="F61" s="619"/>
      <c r="G61" s="619"/>
      <c r="H61" s="619"/>
      <c r="I61" s="204">
        <f ca="1">IF(J61&gt;$J$4,$J$4,J61)</f>
        <v>1419.0514800000001</v>
      </c>
      <c r="J61" s="207">
        <f ca="1">SUM(I60:I60)</f>
        <v>1419.0514800000001</v>
      </c>
    </row>
    <row r="62" spans="2:10" ht="33.950000000000003" customHeight="1" x14ac:dyDescent="0.25">
      <c r="B62" s="618" t="s">
        <v>1098</v>
      </c>
      <c r="C62" s="618"/>
      <c r="D62" s="618"/>
      <c r="E62" s="618"/>
      <c r="F62" s="618"/>
      <c r="G62" s="618"/>
      <c r="H62" s="618"/>
      <c r="I62" s="618"/>
    </row>
    <row r="63" spans="2:10" x14ac:dyDescent="0.25">
      <c r="B63" s="199" t="s">
        <v>1218</v>
      </c>
      <c r="C63" s="200">
        <v>3</v>
      </c>
      <c r="D63" s="200">
        <v>5</v>
      </c>
      <c r="E63" s="199" t="s">
        <v>6</v>
      </c>
      <c r="F63" s="201">
        <f ca="1">IF(E63="CONTRATO",RESUMO!$E$189,IF(E63="VALOR MENSAL",RESUMO!$E$187,VLOOKUP(E63,RESUMO!$B$7:$D$177,4,FALSE)))</f>
        <v>2449323.1808789619</v>
      </c>
      <c r="G63" s="202">
        <f>VLOOKUP(C63,$N$3:$O$7,2,FALSE)</f>
        <v>8.9999999999999998E-4</v>
      </c>
      <c r="H63" s="202">
        <f>G63*D63</f>
        <v>4.4999999999999997E-3</v>
      </c>
      <c r="I63" s="203">
        <f ca="1">H63*F63</f>
        <v>11021.954313955328</v>
      </c>
    </row>
    <row r="64" spans="2:10" x14ac:dyDescent="0.25">
      <c r="B64" s="619" t="s">
        <v>1079</v>
      </c>
      <c r="C64" s="619"/>
      <c r="D64" s="619"/>
      <c r="E64" s="619"/>
      <c r="F64" s="619"/>
      <c r="G64" s="619"/>
      <c r="H64" s="619"/>
      <c r="I64" s="204">
        <f ca="1">IF(J64&gt;$J$4,$J$4,J64)</f>
        <v>11021.954313955328</v>
      </c>
      <c r="J64" s="207">
        <f ca="1">SUM(I63:I63)</f>
        <v>11021.954313955328</v>
      </c>
    </row>
    <row r="65" spans="2:9" ht="24.75" customHeight="1" x14ac:dyDescent="0.25">
      <c r="B65" s="618" t="s">
        <v>1219</v>
      </c>
      <c r="C65" s="618"/>
      <c r="D65" s="618"/>
      <c r="E65" s="618"/>
      <c r="F65" s="618"/>
      <c r="G65" s="618"/>
      <c r="H65" s="618"/>
      <c r="I65" s="618"/>
    </row>
    <row r="66" spans="2:9" x14ac:dyDescent="0.25">
      <c r="B66" s="199" t="s">
        <v>1220</v>
      </c>
      <c r="C66" s="200">
        <v>3</v>
      </c>
      <c r="D66" s="200">
        <v>5</v>
      </c>
      <c r="E66" s="199" t="s">
        <v>6</v>
      </c>
      <c r="F66" s="201">
        <f ca="1">IF(E66="CONTRATO",RESUMO!$E$189,IF(E66="VALOR MENSAL",RESUMO!$E$187,VLOOKUP(E66,RESUMO!$B$7:$D$177,4,FALSE)))</f>
        <v>2449323.1808789619</v>
      </c>
      <c r="G66" s="202">
        <f>VLOOKUP(C66,$N$3:$O$7,2,FALSE)</f>
        <v>8.9999999999999998E-4</v>
      </c>
      <c r="H66" s="202">
        <f>G66*D66</f>
        <v>4.4999999999999997E-3</v>
      </c>
      <c r="I66" s="203">
        <f ca="1">H66*F66</f>
        <v>11021.954313955328</v>
      </c>
    </row>
    <row r="67" spans="2:9" x14ac:dyDescent="0.25">
      <c r="B67" s="619" t="s">
        <v>1079</v>
      </c>
      <c r="C67" s="619"/>
      <c r="D67" s="619"/>
      <c r="E67" s="619"/>
      <c r="F67" s="619"/>
      <c r="G67" s="619"/>
      <c r="H67" s="619"/>
      <c r="I67" s="204">
        <v>8668.9835335024491</v>
      </c>
    </row>
  </sheetData>
  <mergeCells count="41">
    <mergeCell ref="B2:I2"/>
    <mergeCell ref="B50:I50"/>
    <mergeCell ref="B52:H52"/>
    <mergeCell ref="B53:I53"/>
    <mergeCell ref="B55:H55"/>
    <mergeCell ref="B26:I26"/>
    <mergeCell ref="B11:I11"/>
    <mergeCell ref="B13:H13"/>
    <mergeCell ref="B20:I20"/>
    <mergeCell ref="B22:H22"/>
    <mergeCell ref="B16:H16"/>
    <mergeCell ref="B17:I17"/>
    <mergeCell ref="B19:H19"/>
    <mergeCell ref="B23:I23"/>
    <mergeCell ref="B25:H25"/>
    <mergeCell ref="B5:I5"/>
    <mergeCell ref="B42:H42"/>
    <mergeCell ref="B43:I43"/>
    <mergeCell ref="B46:H46"/>
    <mergeCell ref="B47:I47"/>
    <mergeCell ref="B7:H7"/>
    <mergeCell ref="B8:I8"/>
    <mergeCell ref="B10:H10"/>
    <mergeCell ref="B14:I14"/>
    <mergeCell ref="B28:H28"/>
    <mergeCell ref="B56:I56"/>
    <mergeCell ref="B29:I29"/>
    <mergeCell ref="B31:H31"/>
    <mergeCell ref="B65:I65"/>
    <mergeCell ref="B67:H67"/>
    <mergeCell ref="B62:I62"/>
    <mergeCell ref="B64:H64"/>
    <mergeCell ref="B59:I59"/>
    <mergeCell ref="B61:H61"/>
    <mergeCell ref="B58:H58"/>
    <mergeCell ref="B49:H49"/>
    <mergeCell ref="B32:I32"/>
    <mergeCell ref="B35:H35"/>
    <mergeCell ref="B36:I36"/>
    <mergeCell ref="B38:H38"/>
    <mergeCell ref="B39:I39"/>
  </mergeCells>
  <pageMargins left="0.51181102362204722" right="0.51181102362204722" top="0.78740157480314965" bottom="0.78740157480314965" header="0.31496062992125984" footer="0.31496062992125984"/>
  <pageSetup paperSize="9" scale="97" fitToHeight="0" orientation="landscape" r:id="rId1"/>
  <rowBreaks count="2" manualBreakCount="2">
    <brk id="31" min="1" max="8" man="1"/>
    <brk id="49" min="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29</vt:i4>
      </vt:variant>
      <vt:variant>
        <vt:lpstr>Intervalos Nomeados</vt:lpstr>
      </vt:variant>
      <vt:variant>
        <vt:i4>55</vt:i4>
      </vt:variant>
    </vt:vector>
  </HeadingPairs>
  <TitlesOfParts>
    <vt:vector size="84" baseType="lpstr">
      <vt:lpstr>RESUMO</vt:lpstr>
      <vt:lpstr>TABELA ETP</vt:lpstr>
      <vt:lpstr>POSTOS POR UNIDADE</vt:lpstr>
      <vt:lpstr>AREAS POR UNIDADE</vt:lpstr>
      <vt:lpstr>PRODUTIVIDADES</vt:lpstr>
      <vt:lpstr>ROTINAS</vt:lpstr>
      <vt:lpstr>DADOS CCT</vt:lpstr>
      <vt:lpstr>PoC</vt:lpstr>
      <vt:lpstr>5143-20 SRV.L 5x2 DIURNO SM</vt:lpstr>
      <vt:lpstr>5143-15 ESQ.E 5x2 DIURNO SM</vt:lpstr>
      <vt:lpstr>5143-20 AUX.LB 5x2 DIURNO SM</vt:lpstr>
      <vt:lpstr>5143-20 AUX.LH 5x2 DIURNO SM</vt:lpstr>
      <vt:lpstr>5143-30 LMP.P 5x2 DIURNO SM</vt:lpstr>
      <vt:lpstr>5142-05 COL.LX 5x2 DIURNO SM</vt:lpstr>
      <vt:lpstr>5142-30 COL.RS 5x2 DIURNO SM</vt:lpstr>
      <vt:lpstr>5143-20 ENC 5x2 DIURNO SM</vt:lpstr>
      <vt:lpstr>5143-20 SRV.L 5x2 DIURNO CS</vt:lpstr>
      <vt:lpstr>5143-20 AUX.LB 5x2 DIURNO CS</vt:lpstr>
      <vt:lpstr>5143-20 SRV.L 5x2 DIURNO FW</vt:lpstr>
      <vt:lpstr>5143-20 AUX.LB 5x2 DIURNO FW</vt:lpstr>
      <vt:lpstr>5143-20 SVR.L 5x2 DIURNO PM</vt:lpstr>
      <vt:lpstr>5143-20 AUX.LB 5x2 DIURNO PM</vt:lpstr>
      <vt:lpstr>5143-20 AUX.LB 5x2 DIURNO SVM</vt:lpstr>
      <vt:lpstr>5143-20 AUX.LB 5x2 DIURNO SJP</vt:lpstr>
      <vt:lpstr>UNIFORMES EPI</vt:lpstr>
      <vt:lpstr>INSUMOS</vt:lpstr>
      <vt:lpstr>ESCALAS</vt:lpstr>
      <vt:lpstr>LISTAS</vt:lpstr>
      <vt:lpstr>SANÇÕES</vt:lpstr>
      <vt:lpstr>'5142-05 COL.LX 5x2 DIURNO SM'!Area_de_impressao</vt:lpstr>
      <vt:lpstr>'5142-30 COL.RS 5x2 DIURNO SM'!Area_de_impressao</vt:lpstr>
      <vt:lpstr>'5143-15 ESQ.E 5x2 DIURNO SM'!Area_de_impressao</vt:lpstr>
      <vt:lpstr>'5143-20 AUX.LB 5x2 DIURNO CS'!Area_de_impressao</vt:lpstr>
      <vt:lpstr>'5143-20 AUX.LB 5x2 DIURNO FW'!Area_de_impressao</vt:lpstr>
      <vt:lpstr>'5143-20 AUX.LB 5x2 DIURNO PM'!Area_de_impressao</vt:lpstr>
      <vt:lpstr>'5143-20 AUX.LB 5x2 DIURNO SJP'!Area_de_impressao</vt:lpstr>
      <vt:lpstr>'5143-20 AUX.LB 5x2 DIURNO SM'!Area_de_impressao</vt:lpstr>
      <vt:lpstr>'5143-20 AUX.LB 5x2 DIURNO SVM'!Area_de_impressao</vt:lpstr>
      <vt:lpstr>'5143-20 AUX.LH 5x2 DIURNO SM'!Area_de_impressao</vt:lpstr>
      <vt:lpstr>'5143-20 ENC 5x2 DIURNO SM'!Area_de_impressao</vt:lpstr>
      <vt:lpstr>'5143-20 SRV.L 5x2 DIURNO CS'!Area_de_impressao</vt:lpstr>
      <vt:lpstr>'5143-20 SRV.L 5x2 DIURNO FW'!Area_de_impressao</vt:lpstr>
      <vt:lpstr>'5143-20 SRV.L 5x2 DIURNO SM'!Area_de_impressao</vt:lpstr>
      <vt:lpstr>'5143-20 SVR.L 5x2 DIURNO PM'!Area_de_impressao</vt:lpstr>
      <vt:lpstr>'5143-30 LMP.P 5x2 DIURNO SM'!Area_de_impressao</vt:lpstr>
      <vt:lpstr>'AREAS POR UNIDADE'!Area_de_impressao</vt:lpstr>
      <vt:lpstr>'DADOS CCT'!Area_de_impressao</vt:lpstr>
      <vt:lpstr>ESCALAS!Area_de_impressao</vt:lpstr>
      <vt:lpstr>INSUMOS!Area_de_impressao</vt:lpstr>
      <vt:lpstr>PoC!Area_de_impressao</vt:lpstr>
      <vt:lpstr>'POSTOS POR UNIDADE'!Area_de_impressao</vt:lpstr>
      <vt:lpstr>PRODUTIVIDADES!Area_de_impressao</vt:lpstr>
      <vt:lpstr>RESUMO!Area_de_impressao</vt:lpstr>
      <vt:lpstr>SANÇÕES!Area_de_impressao</vt:lpstr>
      <vt:lpstr>'UNIFORMES EPI'!Area_de_impressao</vt:lpstr>
      <vt:lpstr>COD_POSTOS</vt:lpstr>
      <vt:lpstr>tb_Produtividades</vt:lpstr>
      <vt:lpstr>TIPOS_AREAS</vt:lpstr>
      <vt:lpstr>'5142-05 COL.LX 5x2 DIURNO SM'!Titulos_de_impressao</vt:lpstr>
      <vt:lpstr>'5142-30 COL.RS 5x2 DIURNO SM'!Titulos_de_impressao</vt:lpstr>
      <vt:lpstr>'5143-15 ESQ.E 5x2 DIURNO SM'!Titulos_de_impressao</vt:lpstr>
      <vt:lpstr>'5143-20 AUX.LB 5x2 DIURNO CS'!Titulos_de_impressao</vt:lpstr>
      <vt:lpstr>'5143-20 AUX.LB 5x2 DIURNO FW'!Titulos_de_impressao</vt:lpstr>
      <vt:lpstr>'5143-20 AUX.LB 5x2 DIURNO PM'!Titulos_de_impressao</vt:lpstr>
      <vt:lpstr>'5143-20 AUX.LB 5x2 DIURNO SJP'!Titulos_de_impressao</vt:lpstr>
      <vt:lpstr>'5143-20 AUX.LB 5x2 DIURNO SM'!Titulos_de_impressao</vt:lpstr>
      <vt:lpstr>'5143-20 AUX.LB 5x2 DIURNO SVM'!Titulos_de_impressao</vt:lpstr>
      <vt:lpstr>'5143-20 AUX.LH 5x2 DIURNO SM'!Titulos_de_impressao</vt:lpstr>
      <vt:lpstr>'5143-20 ENC 5x2 DIURNO SM'!Titulos_de_impressao</vt:lpstr>
      <vt:lpstr>'5143-20 SRV.L 5x2 DIURNO CS'!Titulos_de_impressao</vt:lpstr>
      <vt:lpstr>'5143-20 SRV.L 5x2 DIURNO FW'!Titulos_de_impressao</vt:lpstr>
      <vt:lpstr>'5143-20 SRV.L 5x2 DIURNO SM'!Titulos_de_impressao</vt:lpstr>
      <vt:lpstr>'5143-20 SVR.L 5x2 DIURNO PM'!Titulos_de_impressao</vt:lpstr>
      <vt:lpstr>'5143-30 LMP.P 5x2 DIURNO SM'!Titulos_de_impressao</vt:lpstr>
      <vt:lpstr>'AREAS POR UNIDADE'!Titulos_de_impressao</vt:lpstr>
      <vt:lpstr>'DADOS CCT'!Titulos_de_impressao</vt:lpstr>
      <vt:lpstr>INSUMOS!Titulos_de_impressao</vt:lpstr>
      <vt:lpstr>PRODUTIVIDADES!Titulos_de_impressao</vt:lpstr>
      <vt:lpstr>SANÇÕES!Titulos_de_impressao</vt:lpstr>
      <vt:lpstr>'UNIFORMES EPI'!Titulos_de_impressao</vt:lpstr>
      <vt:lpstr>UNIDADES</vt:lpstr>
      <vt:lpstr>vlCONTRATO</vt:lpstr>
      <vt:lpstr>vlINSUMOS</vt:lpstr>
      <vt:lpstr>vlMENSAL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gchiapinotto</dc:creator>
  <cp:keywords/>
  <dc:description/>
  <cp:lastModifiedBy>gchiapinotto</cp:lastModifiedBy>
  <cp:revision/>
  <cp:lastPrinted>2024-12-19T18:16:59Z</cp:lastPrinted>
  <dcterms:created xsi:type="dcterms:W3CDTF">2015-06-05T18:19:34Z</dcterms:created>
  <dcterms:modified xsi:type="dcterms:W3CDTF">2024-12-20T17:14:52Z</dcterms:modified>
  <cp:category/>
  <cp:contentStatus/>
</cp:coreProperties>
</file>